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2.xml" ContentType="application/vnd.openxmlformats-officedocument.spreadsheetml.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15480" windowHeight="7530" tabRatio="500" firstSheet="1" activeTab="3"/>
  </bookViews>
  <sheets>
    <sheet name="INFORMATION" sheetId="7" r:id="rId1"/>
    <sheet name="PLAN COMPTABLE" sheetId="6" r:id="rId2"/>
    <sheet name="BUDGET" sheetId="1" r:id="rId3"/>
    <sheet name="JOURNAL" sheetId="2" r:id="rId4"/>
    <sheet name="ÉTAT DES RÉSULTATS" sheetId="3" r:id="rId5"/>
    <sheet name="HIDDEN DATA" sheetId="4" r:id="rId6"/>
  </sheets>
  <definedNames>
    <definedName name="_xlnm.Print_Area" localSheetId="3">JOURNAL!$A:$J</definedName>
    <definedName name="_xlnm.Print_Titles" localSheetId="2">BUDGET!$1:$8</definedName>
    <definedName name="_xlnm.Print_Titles" localSheetId="4">'ÉTAT DES RÉSULTATS'!$1:$8</definedName>
    <definedName name="_xlnm.Print_Titles" localSheetId="3">JOURNAL!$1:$4</definedName>
    <definedName name="_xlnm.Print_Titles" localSheetId="1">'PLAN COMPTABLE'!$1:$4</definedName>
    <definedName name="zzz99999">'ÉTAT DES RÉSULTATS'!$J$9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04" i="2" l="1"/>
  <c r="E604" i="2"/>
  <c r="C603" i="2" l="1"/>
  <c r="E603" i="2"/>
  <c r="C602" i="2" l="1"/>
  <c r="E602" i="2"/>
  <c r="C601" i="2" l="1"/>
  <c r="E601" i="2"/>
  <c r="C600" i="2" l="1"/>
  <c r="E600" i="2"/>
  <c r="I599" i="2" l="1"/>
  <c r="C599" i="2"/>
  <c r="E599" i="2"/>
  <c r="C598" i="2" l="1"/>
  <c r="E598" i="2"/>
  <c r="C597" i="2" l="1"/>
  <c r="E597" i="2"/>
  <c r="C596" i="2" l="1"/>
  <c r="E596" i="2"/>
  <c r="C595" i="2" l="1"/>
  <c r="E595" i="2"/>
  <c r="C594" i="2" l="1"/>
  <c r="E594" i="2"/>
  <c r="C593" i="2"/>
  <c r="E593" i="2"/>
  <c r="C592" i="2" l="1"/>
  <c r="E592" i="2"/>
  <c r="C591" i="2"/>
  <c r="E591" i="2"/>
  <c r="C590" i="2"/>
  <c r="E590" i="2"/>
  <c r="C589" i="2" l="1"/>
  <c r="C588" i="2"/>
  <c r="E588" i="2"/>
  <c r="C587" i="2" l="1"/>
  <c r="E587" i="2"/>
  <c r="C586" i="2"/>
  <c r="E586" i="2"/>
  <c r="I585" i="2" l="1"/>
  <c r="C585" i="2"/>
  <c r="E585" i="2"/>
  <c r="C584" i="2" l="1"/>
  <c r="C583" i="2" l="1"/>
  <c r="C582" i="2"/>
  <c r="C581" i="2"/>
  <c r="C580" i="2" l="1"/>
  <c r="C579" i="2"/>
  <c r="C578" i="2"/>
  <c r="C577" i="2" l="1"/>
  <c r="R119" i="1" l="1"/>
  <c r="R106" i="1"/>
  <c r="R96" i="1"/>
  <c r="R90" i="1"/>
  <c r="R73" i="1"/>
  <c r="R58" i="1"/>
  <c r="R48" i="1"/>
  <c r="R41" i="1"/>
  <c r="R35" i="1"/>
  <c r="R20" i="1"/>
  <c r="R122" i="1" l="1"/>
  <c r="R61" i="1"/>
  <c r="C576" i="2"/>
  <c r="R125" i="1" l="1"/>
  <c r="C575" i="2"/>
  <c r="C574" i="2"/>
  <c r="C573" i="2"/>
  <c r="C572" i="2" l="1"/>
  <c r="C571" i="2" l="1"/>
  <c r="C570" i="2" l="1"/>
  <c r="C569" i="2"/>
  <c r="C568" i="2" l="1"/>
  <c r="C567" i="2"/>
  <c r="C566" i="2" l="1"/>
  <c r="I565" i="2"/>
  <c r="C565" i="2"/>
  <c r="C564" i="2" l="1"/>
  <c r="C563" i="2"/>
  <c r="C562" i="2"/>
  <c r="C561" i="2"/>
  <c r="C560" i="2"/>
  <c r="C559" i="2"/>
  <c r="C558" i="2"/>
  <c r="C557" i="2"/>
  <c r="C556" i="2"/>
  <c r="C555" i="2" l="1"/>
  <c r="C554" i="2" l="1"/>
  <c r="C553" i="2"/>
  <c r="I552" i="2"/>
  <c r="C552" i="2"/>
  <c r="C551" i="2"/>
  <c r="I550" i="2" l="1"/>
  <c r="C550" i="2"/>
  <c r="C549" i="2"/>
  <c r="C548" i="2" l="1"/>
  <c r="C547" i="2"/>
  <c r="C546" i="2"/>
  <c r="C545" i="2"/>
  <c r="C544" i="2" l="1"/>
  <c r="C543" i="2" l="1"/>
  <c r="C542" i="2"/>
  <c r="I541" i="2" l="1"/>
  <c r="C541" i="2"/>
  <c r="I540" i="2" l="1"/>
  <c r="C540" i="2"/>
  <c r="C539" i="2" l="1"/>
  <c r="C538" i="2" l="1"/>
  <c r="C537" i="2"/>
  <c r="C536" i="2" l="1"/>
  <c r="C535" i="2"/>
  <c r="I534" i="2" l="1"/>
  <c r="C534" i="2"/>
  <c r="C533" i="2" l="1"/>
  <c r="C532" i="2" l="1"/>
  <c r="C531" i="2"/>
  <c r="C530" i="2" l="1"/>
  <c r="C529" i="2" l="1"/>
  <c r="C528" i="2"/>
  <c r="C527" i="2" l="1"/>
  <c r="C526" i="2" l="1"/>
  <c r="C525" i="2" l="1"/>
  <c r="I524" i="2"/>
  <c r="C524" i="2"/>
  <c r="C523" i="2"/>
  <c r="C522" i="2"/>
  <c r="C521" i="2"/>
  <c r="C520" i="2"/>
  <c r="C519" i="2" l="1"/>
  <c r="C518" i="2" l="1"/>
  <c r="C517" i="2" l="1"/>
  <c r="C516" i="2" l="1"/>
  <c r="C515" i="2"/>
  <c r="I514" i="2" l="1"/>
  <c r="C514" i="2"/>
  <c r="C513" i="2" l="1"/>
  <c r="I512" i="2" l="1"/>
  <c r="C512" i="2"/>
  <c r="I511" i="2" l="1"/>
  <c r="C511" i="2"/>
  <c r="P119" i="1"/>
  <c r="P106" i="1"/>
  <c r="P96" i="1"/>
  <c r="P90" i="1"/>
  <c r="P73" i="1"/>
  <c r="P58" i="1"/>
  <c r="P48" i="1"/>
  <c r="P41" i="1"/>
  <c r="P35" i="1"/>
  <c r="P20" i="1"/>
  <c r="P61" i="1" l="1"/>
  <c r="P122" i="1"/>
  <c r="C510" i="2"/>
  <c r="P125" i="1" l="1"/>
  <c r="C509" i="2"/>
  <c r="C508" i="2" l="1"/>
  <c r="C507" i="2"/>
  <c r="C506" i="2" l="1"/>
  <c r="C505" i="2"/>
  <c r="C504" i="2" l="1"/>
  <c r="C503" i="2" l="1"/>
  <c r="C502" i="2" l="1"/>
  <c r="I501" i="2" l="1"/>
  <c r="C501" i="2"/>
  <c r="C500" i="2"/>
  <c r="C499" i="2"/>
  <c r="C498" i="2" l="1"/>
  <c r="C497" i="2"/>
  <c r="C496" i="2"/>
  <c r="C495" i="2" l="1"/>
  <c r="C494" i="2" l="1"/>
  <c r="C493" i="2"/>
  <c r="I492" i="2" l="1"/>
  <c r="C492" i="2"/>
  <c r="C491" i="2"/>
  <c r="C490" i="2"/>
  <c r="I489" i="2"/>
  <c r="C489" i="2"/>
  <c r="C488" i="2"/>
  <c r="C487" i="2"/>
  <c r="C486" i="2"/>
  <c r="C485" i="2"/>
  <c r="C484" i="2" l="1"/>
  <c r="C483" i="2"/>
  <c r="C482" i="2" l="1"/>
  <c r="C481" i="2" l="1"/>
  <c r="C480" i="2"/>
  <c r="C479" i="2"/>
  <c r="C478" i="2"/>
  <c r="I477" i="2" l="1"/>
  <c r="C477" i="2"/>
  <c r="C476" i="2"/>
  <c r="C475" i="2" l="1"/>
  <c r="C474" i="2"/>
  <c r="C473" i="2"/>
  <c r="C472" i="2" l="1"/>
  <c r="C471" i="2" l="1"/>
  <c r="C470" i="2" l="1"/>
  <c r="C469" i="2" l="1"/>
  <c r="C468" i="2" l="1"/>
  <c r="C463" i="2" l="1"/>
  <c r="I462" i="2" l="1"/>
  <c r="C462" i="2"/>
  <c r="C461" i="2"/>
  <c r="C456" i="2" l="1"/>
  <c r="C455" i="2" l="1"/>
  <c r="C454" i="2" l="1"/>
  <c r="C453" i="2" l="1"/>
  <c r="I452" i="2" l="1"/>
  <c r="C452" i="2"/>
  <c r="I451" i="2"/>
  <c r="C449" i="2" l="1"/>
  <c r="C448" i="2"/>
  <c r="C447" i="2" l="1"/>
  <c r="C446" i="2" l="1"/>
  <c r="C445" i="2"/>
  <c r="C444" i="2" l="1"/>
  <c r="C443" i="2"/>
  <c r="C442" i="2"/>
  <c r="C441" i="2" l="1"/>
  <c r="C440" i="2" l="1"/>
  <c r="C439" i="2" l="1"/>
  <c r="C438" i="2"/>
  <c r="C437" i="2" l="1"/>
  <c r="C436" i="2" l="1"/>
  <c r="C435" i="2" l="1"/>
  <c r="I434" i="2" l="1"/>
  <c r="N119" i="1"/>
  <c r="N106" i="1"/>
  <c r="N96" i="1"/>
  <c r="N90" i="1"/>
  <c r="N73" i="1"/>
  <c r="N58" i="1"/>
  <c r="N48" i="1"/>
  <c r="N41" i="1"/>
  <c r="N35" i="1"/>
  <c r="N20" i="1"/>
  <c r="N61" i="1" l="1"/>
  <c r="N122" i="1"/>
  <c r="C433" i="2"/>
  <c r="C432" i="2"/>
  <c r="N125" i="1" l="1"/>
  <c r="C431" i="2"/>
  <c r="I406" i="2" l="1"/>
  <c r="I405" i="2"/>
  <c r="I381" i="2" l="1"/>
  <c r="C76" i="6" l="1"/>
  <c r="C74" i="6" l="1"/>
  <c r="L119" i="1"/>
  <c r="L106" i="1"/>
  <c r="L96" i="1"/>
  <c r="L90" i="1"/>
  <c r="L73" i="1"/>
  <c r="L58" i="1"/>
  <c r="L48" i="1"/>
  <c r="L41" i="1"/>
  <c r="L35" i="1"/>
  <c r="L20" i="1"/>
  <c r="L61" i="1" s="1"/>
  <c r="AE104" i="3"/>
  <c r="A1" i="3"/>
  <c r="C67" i="6"/>
  <c r="M4" i="2"/>
  <c r="AE84" i="3"/>
  <c r="AE69" i="3"/>
  <c r="C41" i="6"/>
  <c r="A69" i="3" s="1"/>
  <c r="J119" i="1"/>
  <c r="J106" i="1"/>
  <c r="J96" i="1"/>
  <c r="J90" i="1"/>
  <c r="J73" i="1"/>
  <c r="J122" i="1" s="1"/>
  <c r="J58" i="1"/>
  <c r="J48" i="1"/>
  <c r="J41" i="1"/>
  <c r="J35" i="1"/>
  <c r="J20" i="1"/>
  <c r="J61" i="1" s="1"/>
  <c r="J125" i="1" s="1"/>
  <c r="A69" i="1"/>
  <c r="H119" i="1"/>
  <c r="H106" i="1"/>
  <c r="H96" i="1"/>
  <c r="H90" i="1"/>
  <c r="H73" i="1"/>
  <c r="H122" i="1" s="1"/>
  <c r="H58" i="1"/>
  <c r="H48" i="1"/>
  <c r="H41" i="1"/>
  <c r="H35" i="1"/>
  <c r="H20" i="1"/>
  <c r="H61" i="1" s="1"/>
  <c r="H125" i="1" s="1"/>
  <c r="C53" i="6"/>
  <c r="C47" i="6"/>
  <c r="A78" i="3" s="1"/>
  <c r="C73" i="6"/>
  <c r="A113" i="3" s="1"/>
  <c r="A78" i="1"/>
  <c r="A114" i="1"/>
  <c r="F119" i="1"/>
  <c r="F106" i="1"/>
  <c r="F58" i="1"/>
  <c r="F48" i="1"/>
  <c r="C64" i="6"/>
  <c r="A102" i="3" s="1"/>
  <c r="A103" i="1"/>
  <c r="AA102" i="3"/>
  <c r="U102" i="3"/>
  <c r="O102" i="3"/>
  <c r="D119" i="1"/>
  <c r="D106" i="1"/>
  <c r="D20" i="1"/>
  <c r="C68" i="6"/>
  <c r="A108" i="3" s="1"/>
  <c r="I15" i="2"/>
  <c r="C50" i="6"/>
  <c r="A81" i="3" s="1"/>
  <c r="A81" i="1"/>
  <c r="C17" i="6"/>
  <c r="A27" i="3" s="1"/>
  <c r="B12" i="1"/>
  <c r="B20" i="1" s="1"/>
  <c r="B73" i="1"/>
  <c r="B90" i="1"/>
  <c r="B96" i="1"/>
  <c r="B106" i="1"/>
  <c r="B119" i="1"/>
  <c r="C5" i="6"/>
  <c r="C6" i="6"/>
  <c r="A13" i="3" s="1"/>
  <c r="A13" i="1"/>
  <c r="C7" i="6"/>
  <c r="A14" i="3" s="1"/>
  <c r="C8" i="6"/>
  <c r="A15" i="3" s="1"/>
  <c r="C9" i="6"/>
  <c r="A16" i="3" s="1"/>
  <c r="C10" i="6"/>
  <c r="A17" i="3" s="1"/>
  <c r="A17" i="1"/>
  <c r="C11" i="6"/>
  <c r="A18" i="3" s="1"/>
  <c r="C12" i="6"/>
  <c r="A19" i="3" s="1"/>
  <c r="C13" i="6"/>
  <c r="A23" i="3" s="1"/>
  <c r="C14" i="6"/>
  <c r="A24" i="3" s="1"/>
  <c r="C15" i="6"/>
  <c r="A25" i="1" s="1"/>
  <c r="C16" i="6"/>
  <c r="A26" i="3" s="1"/>
  <c r="C18" i="6"/>
  <c r="C19" i="6"/>
  <c r="C20" i="6"/>
  <c r="A30" i="3" s="1"/>
  <c r="C21" i="6"/>
  <c r="A31" i="3" s="1"/>
  <c r="C22" i="6"/>
  <c r="A32" i="3" s="1"/>
  <c r="A32" i="1"/>
  <c r="C23" i="6"/>
  <c r="A33" i="3" s="1"/>
  <c r="C24" i="6"/>
  <c r="A34" i="3" s="1"/>
  <c r="C25" i="6"/>
  <c r="A38" i="3" s="1"/>
  <c r="C26" i="6"/>
  <c r="C27" i="6"/>
  <c r="A40" i="3" s="1"/>
  <c r="C39" i="6"/>
  <c r="C28" i="6"/>
  <c r="A44" i="3" s="1"/>
  <c r="A44" i="1"/>
  <c r="C29" i="6"/>
  <c r="A45" i="3" s="1"/>
  <c r="A45" i="1"/>
  <c r="C30" i="6"/>
  <c r="A46" i="3" s="1"/>
  <c r="A46" i="1"/>
  <c r="C31" i="6"/>
  <c r="A47" i="3" s="1"/>
  <c r="A47" i="1"/>
  <c r="C32" i="6"/>
  <c r="A51" i="3" s="1"/>
  <c r="A51" i="1"/>
  <c r="C33" i="6"/>
  <c r="A52" i="3" s="1"/>
  <c r="A52" i="1"/>
  <c r="C34" i="6"/>
  <c r="A53" i="3" s="1"/>
  <c r="A53" i="1"/>
  <c r="C35" i="6"/>
  <c r="A54" i="3" s="1"/>
  <c r="A54" i="1"/>
  <c r="C36" i="6"/>
  <c r="A55" i="3" s="1"/>
  <c r="A55" i="1"/>
  <c r="C37" i="6"/>
  <c r="A56" i="3" s="1"/>
  <c r="A56" i="1"/>
  <c r="C38" i="6"/>
  <c r="A57" i="3" s="1"/>
  <c r="A57" i="1"/>
  <c r="C40" i="6"/>
  <c r="A68" i="3" s="1"/>
  <c r="C42" i="6"/>
  <c r="A70" i="3" s="1"/>
  <c r="A70" i="1"/>
  <c r="C43" i="6"/>
  <c r="A71" i="3" s="1"/>
  <c r="C44" i="6"/>
  <c r="A72" i="3" s="1"/>
  <c r="A72" i="1"/>
  <c r="C46" i="6"/>
  <c r="A77" i="3" s="1"/>
  <c r="A77" i="1"/>
  <c r="C48" i="6"/>
  <c r="C49" i="6"/>
  <c r="A80" i="3" s="1"/>
  <c r="A80" i="1"/>
  <c r="C51" i="6"/>
  <c r="A82" i="3" s="1"/>
  <c r="C52" i="6"/>
  <c r="A83" i="3" s="1"/>
  <c r="C54" i="6"/>
  <c r="A85" i="3" s="1"/>
  <c r="C55" i="6"/>
  <c r="A86" i="3" s="1"/>
  <c r="C56" i="6"/>
  <c r="A87" i="3" s="1"/>
  <c r="C57" i="6"/>
  <c r="A88" i="3" s="1"/>
  <c r="C58" i="6"/>
  <c r="A89" i="3" s="1"/>
  <c r="C59" i="6"/>
  <c r="A93" i="3" s="1"/>
  <c r="C60" i="6"/>
  <c r="A94" i="3" s="1"/>
  <c r="C61" i="6"/>
  <c r="A95" i="3" s="1"/>
  <c r="C62" i="6"/>
  <c r="A99" i="3" s="1"/>
  <c r="C63" i="6"/>
  <c r="A100" i="3" s="1"/>
  <c r="C65" i="6"/>
  <c r="A101" i="3" s="1"/>
  <c r="C66" i="6"/>
  <c r="A103" i="3" s="1"/>
  <c r="C69" i="6"/>
  <c r="A109" i="3" s="1"/>
  <c r="C70" i="6"/>
  <c r="A110" i="3" s="1"/>
  <c r="C71" i="6"/>
  <c r="A112" i="1" s="1"/>
  <c r="C72" i="6"/>
  <c r="C75" i="6"/>
  <c r="A115" i="3" s="1"/>
  <c r="A116" i="3"/>
  <c r="C77" i="6"/>
  <c r="A117" i="3" s="1"/>
  <c r="I26" i="3"/>
  <c r="B35" i="1"/>
  <c r="B41" i="1"/>
  <c r="D35" i="1"/>
  <c r="D41" i="1"/>
  <c r="F20" i="1"/>
  <c r="F35" i="1"/>
  <c r="F41" i="1"/>
  <c r="F96" i="1"/>
  <c r="D96" i="1"/>
  <c r="A1" i="2"/>
  <c r="A3" i="4"/>
  <c r="A4" i="4"/>
  <c r="B2" i="4"/>
  <c r="C2" i="4"/>
  <c r="F73" i="1"/>
  <c r="F90" i="1"/>
  <c r="D73" i="1"/>
  <c r="D90" i="1"/>
  <c r="A2" i="6"/>
  <c r="D122" i="1"/>
  <c r="F122" i="1"/>
  <c r="AA40" i="3"/>
  <c r="AA34" i="3"/>
  <c r="AA33" i="3"/>
  <c r="AA31" i="3"/>
  <c r="AA30" i="3"/>
  <c r="AA26" i="3"/>
  <c r="AA24" i="3"/>
  <c r="AA23" i="3"/>
  <c r="E339" i="2"/>
  <c r="E348" i="2"/>
  <c r="E313" i="2"/>
  <c r="E314" i="2"/>
  <c r="AA27" i="3"/>
  <c r="U34" i="3"/>
  <c r="U30" i="3"/>
  <c r="U40" i="3"/>
  <c r="U33" i="3"/>
  <c r="U24" i="3"/>
  <c r="U27" i="3"/>
  <c r="U23" i="3"/>
  <c r="U31" i="3"/>
  <c r="U26" i="3"/>
  <c r="A12" i="1"/>
  <c r="A30" i="1"/>
  <c r="B24" i="3"/>
  <c r="O24" i="3"/>
  <c r="I31" i="3"/>
  <c r="O31" i="3"/>
  <c r="I23" i="3"/>
  <c r="O23" i="3"/>
  <c r="B40" i="3"/>
  <c r="O40" i="3"/>
  <c r="B33" i="3"/>
  <c r="O33" i="3"/>
  <c r="I30" i="3"/>
  <c r="O30" i="3"/>
  <c r="B34" i="3"/>
  <c r="O34" i="3"/>
  <c r="B26" i="3"/>
  <c r="O26" i="3"/>
  <c r="I33" i="3"/>
  <c r="B30" i="3"/>
  <c r="I34" i="3"/>
  <c r="E127" i="2"/>
  <c r="E95" i="2"/>
  <c r="E145" i="2"/>
  <c r="B31" i="3"/>
  <c r="A89" i="1"/>
  <c r="I24" i="3"/>
  <c r="A85" i="1"/>
  <c r="B23" i="3"/>
  <c r="I40" i="3"/>
  <c r="A110" i="1"/>
  <c r="A71" i="1"/>
  <c r="A34" i="1"/>
  <c r="A31" i="1"/>
  <c r="C65" i="2"/>
  <c r="C66" i="2"/>
  <c r="C68" i="2"/>
  <c r="C70" i="2"/>
  <c r="C72" i="2"/>
  <c r="C74" i="2"/>
  <c r="C76" i="2"/>
  <c r="C78" i="2"/>
  <c r="C80" i="2"/>
  <c r="C82" i="2"/>
  <c r="C84" i="2"/>
  <c r="C86" i="2"/>
  <c r="C88" i="2"/>
  <c r="C64" i="2"/>
  <c r="C67" i="2"/>
  <c r="C75" i="2"/>
  <c r="C83" i="2"/>
  <c r="C73" i="2"/>
  <c r="AP101" i="3" s="1"/>
  <c r="C81" i="2"/>
  <c r="C71" i="2"/>
  <c r="C79" i="2"/>
  <c r="C87" i="2"/>
  <c r="C69" i="2"/>
  <c r="C77" i="2"/>
  <c r="C85" i="2"/>
  <c r="C291" i="2"/>
  <c r="C293" i="2"/>
  <c r="C295" i="2"/>
  <c r="C297" i="2"/>
  <c r="AP19" i="3" s="1"/>
  <c r="C299" i="2"/>
  <c r="C301" i="2"/>
  <c r="C36" i="2"/>
  <c r="C40" i="2"/>
  <c r="C44" i="2"/>
  <c r="C48" i="2"/>
  <c r="C52" i="2"/>
  <c r="C56" i="2"/>
  <c r="C60" i="2"/>
  <c r="C35" i="2"/>
  <c r="C37" i="2"/>
  <c r="C41" i="2"/>
  <c r="C45" i="2"/>
  <c r="C49" i="2"/>
  <c r="C53" i="2"/>
  <c r="C57" i="2"/>
  <c r="C61" i="2"/>
  <c r="C292" i="2"/>
  <c r="C294" i="2"/>
  <c r="C296" i="2"/>
  <c r="C298" i="2"/>
  <c r="C300" i="2"/>
  <c r="C302" i="2"/>
  <c r="C38" i="2"/>
  <c r="C42" i="2"/>
  <c r="C46" i="2"/>
  <c r="C50" i="2"/>
  <c r="C54" i="2"/>
  <c r="C58" i="2"/>
  <c r="C62" i="2"/>
  <c r="C39" i="2"/>
  <c r="C43" i="2"/>
  <c r="C47" i="2"/>
  <c r="C51" i="2"/>
  <c r="C55" i="2"/>
  <c r="C59" i="2"/>
  <c r="C63" i="2"/>
  <c r="B3" i="4"/>
  <c r="C3" i="4"/>
  <c r="C127" i="2"/>
  <c r="E33" i="2"/>
  <c r="E93" i="2"/>
  <c r="E144" i="2"/>
  <c r="E147" i="2"/>
  <c r="E184" i="2"/>
  <c r="E187" i="2"/>
  <c r="E192" i="2"/>
  <c r="E94" i="2"/>
  <c r="E185" i="2"/>
  <c r="E203" i="2"/>
  <c r="E126" i="2"/>
  <c r="E143" i="2"/>
  <c r="E204" i="2"/>
  <c r="E266" i="2"/>
  <c r="E146" i="2"/>
  <c r="E149" i="2"/>
  <c r="E165" i="2"/>
  <c r="E186" i="2"/>
  <c r="E202" i="2"/>
  <c r="E36" i="2"/>
  <c r="E40" i="2"/>
  <c r="E293" i="2"/>
  <c r="E295" i="2"/>
  <c r="E297" i="2"/>
  <c r="E37" i="2"/>
  <c r="E35" i="2"/>
  <c r="E265" i="2"/>
  <c r="E38" i="2"/>
  <c r="E292" i="2"/>
  <c r="E294" i="2"/>
  <c r="E39" i="2"/>
  <c r="A116" i="1"/>
  <c r="A82" i="1"/>
  <c r="A68" i="1"/>
  <c r="A23" i="1"/>
  <c r="A18" i="1"/>
  <c r="A15" i="1"/>
  <c r="A99" i="1"/>
  <c r="A87" i="1"/>
  <c r="A19" i="1"/>
  <c r="A14" i="1"/>
  <c r="I44" i="3"/>
  <c r="C11" i="2"/>
  <c r="C7" i="2"/>
  <c r="C34" i="2"/>
  <c r="C32" i="2"/>
  <c r="C30" i="2"/>
  <c r="C28" i="2"/>
  <c r="C26" i="2"/>
  <c r="C24" i="2"/>
  <c r="C22" i="2"/>
  <c r="C20" i="2"/>
  <c r="C18" i="2"/>
  <c r="C16" i="2"/>
  <c r="C14" i="2"/>
  <c r="C13" i="2"/>
  <c r="C5" i="2"/>
  <c r="C10" i="2"/>
  <c r="C6" i="2"/>
  <c r="C33" i="2"/>
  <c r="C31" i="2"/>
  <c r="C29" i="2"/>
  <c r="C27" i="2"/>
  <c r="C25" i="2"/>
  <c r="C23" i="2"/>
  <c r="C21" i="2"/>
  <c r="C19" i="2"/>
  <c r="C17" i="2"/>
  <c r="C15" i="2"/>
  <c r="C8" i="2"/>
  <c r="C12" i="2"/>
  <c r="C9" i="2"/>
  <c r="D61" i="1"/>
  <c r="B4" i="4"/>
  <c r="C4" i="4"/>
  <c r="C271" i="2"/>
  <c r="A95" i="1"/>
  <c r="A83" i="1"/>
  <c r="A117" i="1"/>
  <c r="A100" i="1"/>
  <c r="A94" i="1"/>
  <c r="A86" i="1"/>
  <c r="A104" i="1"/>
  <c r="A88" i="1"/>
  <c r="A118" i="1"/>
  <c r="A101" i="1"/>
  <c r="A93" i="1"/>
  <c r="A38" i="1"/>
  <c r="A26" i="1"/>
  <c r="A27" i="1"/>
  <c r="E30" i="2"/>
  <c r="E32" i="2"/>
  <c r="E34" i="2"/>
  <c r="A40" i="1"/>
  <c r="A24" i="1"/>
  <c r="A16" i="1"/>
  <c r="A33" i="1"/>
  <c r="E31" i="2"/>
  <c r="AA32" i="3"/>
  <c r="AA17" i="3"/>
  <c r="AA45" i="3"/>
  <c r="AA52" i="3"/>
  <c r="AA56" i="3"/>
  <c r="AA46" i="3"/>
  <c r="AA53" i="3"/>
  <c r="AA57" i="3"/>
  <c r="AA55" i="3"/>
  <c r="AA51" i="3"/>
  <c r="AA47" i="3"/>
  <c r="AA44" i="3"/>
  <c r="C270" i="2"/>
  <c r="C273" i="2"/>
  <c r="C280" i="2"/>
  <c r="C282" i="2"/>
  <c r="C269" i="2"/>
  <c r="C187" i="2"/>
  <c r="C155" i="2"/>
  <c r="C283" i="2"/>
  <c r="C275" i="2"/>
  <c r="C277" i="2"/>
  <c r="C152" i="2"/>
  <c r="C178" i="2"/>
  <c r="C179" i="2"/>
  <c r="C129" i="2"/>
  <c r="C279" i="2"/>
  <c r="C281" i="2"/>
  <c r="C272" i="2"/>
  <c r="C274" i="2"/>
  <c r="C146" i="2"/>
  <c r="C172" i="2"/>
  <c r="C190" i="2"/>
  <c r="C171" i="2"/>
  <c r="C94" i="2"/>
  <c r="C276" i="2"/>
  <c r="C278" i="2"/>
  <c r="C115" i="2"/>
  <c r="C150" i="2"/>
  <c r="C163" i="2"/>
  <c r="C184" i="2"/>
  <c r="U32" i="3"/>
  <c r="U17" i="3"/>
  <c r="C245" i="2"/>
  <c r="C206" i="2"/>
  <c r="C214" i="2"/>
  <c r="C222" i="2"/>
  <c r="C230" i="2"/>
  <c r="C195" i="2"/>
  <c r="C227" i="2"/>
  <c r="C209" i="2"/>
  <c r="C235" i="2"/>
  <c r="C243" i="2"/>
  <c r="C223" i="2"/>
  <c r="C205" i="2"/>
  <c r="C234" i="2"/>
  <c r="C242" i="2"/>
  <c r="C252" i="2"/>
  <c r="C261" i="2"/>
  <c r="C260" i="2"/>
  <c r="C266" i="2"/>
  <c r="C244" i="2"/>
  <c r="C192" i="2"/>
  <c r="C200" i="2"/>
  <c r="C208" i="2"/>
  <c r="C216" i="2"/>
  <c r="C224" i="2"/>
  <c r="C232" i="2"/>
  <c r="C203" i="2"/>
  <c r="C217" i="2"/>
  <c r="C237" i="2"/>
  <c r="C247" i="2"/>
  <c r="C199" i="2"/>
  <c r="C231" i="2"/>
  <c r="C213" i="2"/>
  <c r="C236" i="2"/>
  <c r="C246" i="2"/>
  <c r="C254" i="2"/>
  <c r="C263" i="2"/>
  <c r="C264" i="2"/>
  <c r="C253" i="2"/>
  <c r="C194" i="2"/>
  <c r="C202" i="2"/>
  <c r="C210" i="2"/>
  <c r="C218" i="2"/>
  <c r="C226" i="2"/>
  <c r="C193" i="2"/>
  <c r="C225" i="2"/>
  <c r="C239" i="2"/>
  <c r="C249" i="2"/>
  <c r="C207" i="2"/>
  <c r="C221" i="2"/>
  <c r="C238" i="2"/>
  <c r="C248" i="2"/>
  <c r="C256" i="2"/>
  <c r="C265" i="2"/>
  <c r="C251" i="2"/>
  <c r="C268" i="2"/>
  <c r="C257" i="2"/>
  <c r="C258" i="2"/>
  <c r="C196" i="2"/>
  <c r="C204" i="2"/>
  <c r="C212" i="2"/>
  <c r="C220" i="2"/>
  <c r="C228" i="2"/>
  <c r="C219" i="2"/>
  <c r="C201" i="2"/>
  <c r="C233" i="2"/>
  <c r="C241" i="2"/>
  <c r="C215" i="2"/>
  <c r="C197" i="2"/>
  <c r="C229" i="2"/>
  <c r="C240" i="2"/>
  <c r="C250" i="2"/>
  <c r="C259" i="2"/>
  <c r="C267" i="2"/>
  <c r="C255" i="2"/>
  <c r="C262" i="2"/>
  <c r="U56" i="3"/>
  <c r="U53" i="3"/>
  <c r="U55" i="3"/>
  <c r="C176" i="2"/>
  <c r="C136" i="2"/>
  <c r="C170" i="2"/>
  <c r="C113" i="2"/>
  <c r="C164" i="2"/>
  <c r="C211" i="2"/>
  <c r="C182" i="2"/>
  <c r="C117" i="2"/>
  <c r="C185" i="2"/>
  <c r="C177" i="2"/>
  <c r="C169" i="2"/>
  <c r="C161" i="2"/>
  <c r="C153" i="2"/>
  <c r="C120" i="2"/>
  <c r="U46" i="3"/>
  <c r="U57" i="3"/>
  <c r="C191" i="2"/>
  <c r="C168" i="2"/>
  <c r="C103" i="2"/>
  <c r="C162" i="2"/>
  <c r="C188" i="2"/>
  <c r="C156" i="2"/>
  <c r="C174" i="2"/>
  <c r="C183" i="2"/>
  <c r="AP108" i="3" s="1"/>
  <c r="C175" i="2"/>
  <c r="C167" i="2"/>
  <c r="C159" i="2"/>
  <c r="C147" i="2"/>
  <c r="C112" i="2"/>
  <c r="U45" i="3"/>
  <c r="U47" i="3"/>
  <c r="B44" i="3"/>
  <c r="U44" i="3"/>
  <c r="C96" i="2"/>
  <c r="W16" i="3"/>
  <c r="C160" i="2"/>
  <c r="C186" i="2"/>
  <c r="C154" i="2"/>
  <c r="C180" i="2"/>
  <c r="C148" i="2"/>
  <c r="C158" i="2"/>
  <c r="C198" i="2"/>
  <c r="C189" i="2"/>
  <c r="C181" i="2"/>
  <c r="C173" i="2"/>
  <c r="C165" i="2"/>
  <c r="C157" i="2"/>
  <c r="C137" i="2"/>
  <c r="C104" i="2"/>
  <c r="U52" i="3"/>
  <c r="I51" i="3"/>
  <c r="U51" i="3"/>
  <c r="C166" i="2"/>
  <c r="O44" i="3"/>
  <c r="B51" i="3"/>
  <c r="O32" i="3"/>
  <c r="B52" i="3"/>
  <c r="O52" i="3"/>
  <c r="O51" i="3"/>
  <c r="I56" i="3"/>
  <c r="O56" i="3"/>
  <c r="O53" i="3"/>
  <c r="B55" i="3"/>
  <c r="O55" i="3"/>
  <c r="B46" i="3"/>
  <c r="O46" i="3"/>
  <c r="O57" i="3"/>
  <c r="O17" i="3"/>
  <c r="B56" i="3"/>
  <c r="O45" i="3"/>
  <c r="B47" i="3"/>
  <c r="O47" i="3"/>
  <c r="I52" i="3"/>
  <c r="I47" i="3"/>
  <c r="D125" i="1"/>
  <c r="C128" i="2"/>
  <c r="C93" i="2"/>
  <c r="C138" i="2"/>
  <c r="C105" i="2"/>
  <c r="C140" i="2"/>
  <c r="C107" i="2"/>
  <c r="C142" i="2"/>
  <c r="C109" i="2"/>
  <c r="C143" i="2"/>
  <c r="C135" i="2"/>
  <c r="C126" i="2"/>
  <c r="C118" i="2"/>
  <c r="C110" i="2"/>
  <c r="C102" i="2"/>
  <c r="C92" i="2"/>
  <c r="C119" i="2"/>
  <c r="C130" i="2"/>
  <c r="C97" i="2"/>
  <c r="C132" i="2"/>
  <c r="C99" i="2"/>
  <c r="C134" i="2"/>
  <c r="C101" i="2"/>
  <c r="C151" i="2"/>
  <c r="C141" i="2"/>
  <c r="C133" i="2"/>
  <c r="C124" i="2"/>
  <c r="C116" i="2"/>
  <c r="C108" i="2"/>
  <c r="C100" i="2"/>
  <c r="C90" i="2"/>
  <c r="C145" i="2"/>
  <c r="C144" i="2"/>
  <c r="C111" i="2"/>
  <c r="C121" i="2"/>
  <c r="C123" i="2"/>
  <c r="C89" i="2"/>
  <c r="C125" i="2"/>
  <c r="C91" i="2"/>
  <c r="C149" i="2"/>
  <c r="C139" i="2"/>
  <c r="C131" i="2"/>
  <c r="C122" i="2"/>
  <c r="C114" i="2"/>
  <c r="C106" i="2"/>
  <c r="C98" i="2"/>
  <c r="C95" i="2"/>
  <c r="I46" i="3"/>
  <c r="I55" i="3"/>
  <c r="D14" i="3"/>
  <c r="I57" i="3"/>
  <c r="B57" i="3"/>
  <c r="I45" i="3"/>
  <c r="B45" i="3"/>
  <c r="I53" i="3"/>
  <c r="B53" i="3"/>
  <c r="D16" i="3"/>
  <c r="I32" i="3"/>
  <c r="B32" i="3"/>
  <c r="D17" i="3"/>
  <c r="B17" i="3"/>
  <c r="I17" i="3"/>
  <c r="K15" i="3"/>
  <c r="D13" i="3"/>
  <c r="K16" i="3"/>
  <c r="A112" i="3" l="1"/>
  <c r="E589" i="2"/>
  <c r="A113" i="1"/>
  <c r="A109" i="1"/>
  <c r="AU117" i="3"/>
  <c r="AU101" i="3"/>
  <c r="AU100" i="3"/>
  <c r="AU95" i="3"/>
  <c r="A79" i="3"/>
  <c r="A79" i="1"/>
  <c r="AU77" i="3"/>
  <c r="AU71" i="3"/>
  <c r="AU70" i="3"/>
  <c r="AU68" i="3"/>
  <c r="AU57" i="3"/>
  <c r="AU56" i="3"/>
  <c r="AU55" i="3"/>
  <c r="AU53" i="3"/>
  <c r="AU52" i="3"/>
  <c r="AU51" i="3"/>
  <c r="AU47" i="3"/>
  <c r="AU46" i="3"/>
  <c r="AU45" i="3"/>
  <c r="AU44" i="3"/>
  <c r="AU40" i="3"/>
  <c r="AU34" i="3"/>
  <c r="AU33" i="3"/>
  <c r="AU32" i="3"/>
  <c r="AU31" i="3"/>
  <c r="AU30" i="3"/>
  <c r="A28" i="3"/>
  <c r="A28" i="1"/>
  <c r="AW26" i="3"/>
  <c r="AU26" i="3"/>
  <c r="AW24" i="3"/>
  <c r="AU24" i="3"/>
  <c r="AW23" i="3"/>
  <c r="AU23" i="3"/>
  <c r="AW19" i="3"/>
  <c r="AU19" i="3"/>
  <c r="AW18" i="3"/>
  <c r="AU18" i="3"/>
  <c r="AW17" i="3"/>
  <c r="AU17" i="3"/>
  <c r="AW16" i="3"/>
  <c r="AU16" i="3"/>
  <c r="AW15" i="3"/>
  <c r="AW14" i="3"/>
  <c r="AW13" i="3"/>
  <c r="E584" i="2"/>
  <c r="E583" i="2"/>
  <c r="E582" i="2"/>
  <c r="E581" i="2"/>
  <c r="E580" i="2"/>
  <c r="E579" i="2"/>
  <c r="E578" i="2"/>
  <c r="E572" i="2"/>
  <c r="E549" i="2"/>
  <c r="E532" i="2"/>
  <c r="E531" i="2"/>
  <c r="AW27" i="3"/>
  <c r="AU27" i="3"/>
  <c r="AU108" i="3"/>
  <c r="AU102" i="3"/>
  <c r="AU78" i="3"/>
  <c r="A29" i="3"/>
  <c r="E577" i="2"/>
  <c r="A29" i="1"/>
  <c r="E576" i="2"/>
  <c r="E575" i="2"/>
  <c r="E574" i="2"/>
  <c r="E573" i="2"/>
  <c r="E571" i="2"/>
  <c r="E569" i="2"/>
  <c r="E570" i="2"/>
  <c r="E567" i="2"/>
  <c r="E568" i="2"/>
  <c r="E566" i="2"/>
  <c r="E565" i="2"/>
  <c r="E564" i="2"/>
  <c r="E559" i="2"/>
  <c r="E561" i="2"/>
  <c r="E560" i="2"/>
  <c r="E556" i="2"/>
  <c r="E558" i="2"/>
  <c r="E563" i="2"/>
  <c r="E562" i="2"/>
  <c r="E557" i="2"/>
  <c r="E555" i="2"/>
  <c r="E551" i="2"/>
  <c r="E554" i="2"/>
  <c r="E553" i="2"/>
  <c r="E552" i="2"/>
  <c r="E550" i="2"/>
  <c r="K28" i="3"/>
  <c r="D29" i="3"/>
  <c r="Q30" i="3"/>
  <c r="Q38" i="3"/>
  <c r="D34" i="3"/>
  <c r="F34" i="3" s="1"/>
  <c r="A25" i="3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0" i="2"/>
  <c r="E529" i="2"/>
  <c r="E528" i="2"/>
  <c r="E527" i="2"/>
  <c r="E526" i="2"/>
  <c r="E522" i="2"/>
  <c r="E520" i="2"/>
  <c r="E523" i="2"/>
  <c r="E525" i="2"/>
  <c r="E521" i="2"/>
  <c r="E524" i="2"/>
  <c r="AP68" i="3"/>
  <c r="I101" i="3"/>
  <c r="AP78" i="3"/>
  <c r="D25" i="3"/>
  <c r="AP71" i="3"/>
  <c r="W34" i="3"/>
  <c r="C467" i="2"/>
  <c r="C466" i="2"/>
  <c r="C465" i="2"/>
  <c r="C464" i="2"/>
  <c r="C460" i="2"/>
  <c r="C459" i="2"/>
  <c r="C458" i="2"/>
  <c r="C457" i="2"/>
  <c r="C451" i="2"/>
  <c r="C450" i="2"/>
  <c r="C434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3" i="2"/>
  <c r="C416" i="2"/>
  <c r="C415" i="2"/>
  <c r="C414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F61" i="1"/>
  <c r="F125" i="1" s="1"/>
  <c r="AP57" i="3"/>
  <c r="AK57" i="3"/>
  <c r="AP56" i="3"/>
  <c r="AK56" i="3"/>
  <c r="AP55" i="3"/>
  <c r="AK55" i="3"/>
  <c r="AP53" i="3"/>
  <c r="AK53" i="3"/>
  <c r="AP52" i="3"/>
  <c r="AK52" i="3"/>
  <c r="AP51" i="3"/>
  <c r="AK51" i="3"/>
  <c r="AP47" i="3"/>
  <c r="AK47" i="3"/>
  <c r="AP46" i="3"/>
  <c r="AK46" i="3"/>
  <c r="AP45" i="3"/>
  <c r="AK45" i="3"/>
  <c r="AP44" i="3"/>
  <c r="AK44" i="3"/>
  <c r="AP40" i="3"/>
  <c r="AK40" i="3"/>
  <c r="E103" i="2"/>
  <c r="AR38" i="3"/>
  <c r="AM38" i="3"/>
  <c r="AH38" i="3"/>
  <c r="AR34" i="3"/>
  <c r="AP34" i="3"/>
  <c r="AM34" i="3"/>
  <c r="AK34" i="3"/>
  <c r="AR33" i="3"/>
  <c r="AP33" i="3"/>
  <c r="AM33" i="3"/>
  <c r="AK33" i="3"/>
  <c r="AR32" i="3"/>
  <c r="AP32" i="3"/>
  <c r="AM32" i="3"/>
  <c r="AK32" i="3"/>
  <c r="AR31" i="3"/>
  <c r="AP31" i="3"/>
  <c r="AM31" i="3"/>
  <c r="AK31" i="3"/>
  <c r="AR30" i="3"/>
  <c r="AP30" i="3"/>
  <c r="AM30" i="3"/>
  <c r="AK30" i="3"/>
  <c r="AR29" i="3"/>
  <c r="AP29" i="3"/>
  <c r="AM29" i="3"/>
  <c r="AK29" i="3"/>
  <c r="AR28" i="3"/>
  <c r="AP28" i="3"/>
  <c r="AM28" i="3"/>
  <c r="AK28" i="3"/>
  <c r="AR26" i="3"/>
  <c r="AP26" i="3"/>
  <c r="AM26" i="3"/>
  <c r="AK26" i="3"/>
  <c r="AR25" i="3"/>
  <c r="AP25" i="3"/>
  <c r="AM25" i="3"/>
  <c r="AK25" i="3"/>
  <c r="AR24" i="3"/>
  <c r="AP24" i="3"/>
  <c r="AM24" i="3"/>
  <c r="AK24" i="3"/>
  <c r="AR23" i="3"/>
  <c r="AP23" i="3"/>
  <c r="AM23" i="3"/>
  <c r="AH23" i="3"/>
  <c r="AK23" i="3"/>
  <c r="AR19" i="3"/>
  <c r="AM19" i="3"/>
  <c r="AR18" i="3"/>
  <c r="AM18" i="3"/>
  <c r="AR17" i="3"/>
  <c r="AP17" i="3"/>
  <c r="AM17" i="3"/>
  <c r="AK17" i="3"/>
  <c r="AR16" i="3"/>
  <c r="AM16" i="3"/>
  <c r="AR15" i="3"/>
  <c r="AM15" i="3"/>
  <c r="AR14" i="3"/>
  <c r="AM14" i="3"/>
  <c r="AC18" i="3"/>
  <c r="AR13" i="3"/>
  <c r="AM13" i="3"/>
  <c r="E519" i="2"/>
  <c r="E518" i="2"/>
  <c r="E517" i="2"/>
  <c r="E516" i="2"/>
  <c r="E515" i="2"/>
  <c r="E512" i="2"/>
  <c r="E511" i="2"/>
  <c r="E510" i="2"/>
  <c r="E509" i="2"/>
  <c r="E508" i="2"/>
  <c r="E507" i="2"/>
  <c r="E506" i="2"/>
  <c r="E505" i="2"/>
  <c r="E504" i="2"/>
  <c r="E502" i="2"/>
  <c r="E501" i="2"/>
  <c r="E500" i="2"/>
  <c r="E499" i="2"/>
  <c r="E495" i="2"/>
  <c r="E492" i="2"/>
  <c r="E491" i="2"/>
  <c r="E490" i="2"/>
  <c r="E489" i="2"/>
  <c r="E488" i="2"/>
  <c r="E484" i="2"/>
  <c r="E483" i="2"/>
  <c r="E482" i="2"/>
  <c r="E481" i="2"/>
  <c r="E480" i="2"/>
  <c r="E477" i="2"/>
  <c r="E475" i="2"/>
  <c r="E474" i="2"/>
  <c r="E473" i="2"/>
  <c r="E470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4" i="2"/>
  <c r="E453" i="2"/>
  <c r="E452" i="2"/>
  <c r="E451" i="2"/>
  <c r="E450" i="2"/>
  <c r="E447" i="2"/>
  <c r="E446" i="2"/>
  <c r="E445" i="2"/>
  <c r="E444" i="2"/>
  <c r="E442" i="2"/>
  <c r="E441" i="2"/>
  <c r="E440" i="2"/>
  <c r="E439" i="2"/>
  <c r="E438" i="2"/>
  <c r="E436" i="2"/>
  <c r="E435" i="2"/>
  <c r="E434" i="2"/>
  <c r="E433" i="2"/>
  <c r="E432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3" i="2"/>
  <c r="E416" i="2"/>
  <c r="E415" i="2"/>
  <c r="E414" i="2"/>
  <c r="E412" i="2"/>
  <c r="E411" i="2"/>
  <c r="E409" i="2"/>
  <c r="E408" i="2"/>
  <c r="E406" i="2"/>
  <c r="E405" i="2"/>
  <c r="E404" i="2"/>
  <c r="B122" i="1"/>
  <c r="B61" i="1"/>
  <c r="B125" i="1" s="1"/>
  <c r="AR27" i="3"/>
  <c r="AP27" i="3"/>
  <c r="AM27" i="3"/>
  <c r="AK27" i="3"/>
  <c r="AP102" i="3"/>
  <c r="AK102" i="3"/>
  <c r="A111" i="3"/>
  <c r="E514" i="2"/>
  <c r="E513" i="2"/>
  <c r="E503" i="2"/>
  <c r="E498" i="2"/>
  <c r="E497" i="2"/>
  <c r="E496" i="2"/>
  <c r="E493" i="2"/>
  <c r="E494" i="2"/>
  <c r="E485" i="2"/>
  <c r="E486" i="2"/>
  <c r="E487" i="2"/>
  <c r="E479" i="2"/>
  <c r="E478" i="2"/>
  <c r="E476" i="2"/>
  <c r="E472" i="2"/>
  <c r="E471" i="2"/>
  <c r="E469" i="2"/>
  <c r="E455" i="2"/>
  <c r="E449" i="2"/>
  <c r="E448" i="2"/>
  <c r="E443" i="2"/>
  <c r="E437" i="2"/>
  <c r="E410" i="2"/>
  <c r="E407" i="2"/>
  <c r="AK77" i="3"/>
  <c r="AP77" i="3"/>
  <c r="AP70" i="3"/>
  <c r="AP18" i="3"/>
  <c r="AP95" i="3"/>
  <c r="AP100" i="3"/>
  <c r="AP16" i="3"/>
  <c r="AP111" i="3"/>
  <c r="AP117" i="3"/>
  <c r="AK71" i="3"/>
  <c r="AK68" i="3"/>
  <c r="AK78" i="3"/>
  <c r="AF70" i="3"/>
  <c r="AK70" i="3"/>
  <c r="I19" i="3"/>
  <c r="AK19" i="3"/>
  <c r="AK18" i="3"/>
  <c r="AK95" i="3"/>
  <c r="AK100" i="3"/>
  <c r="AA101" i="3"/>
  <c r="AK101" i="3"/>
  <c r="AK16" i="3"/>
  <c r="AK111" i="3"/>
  <c r="AA108" i="3"/>
  <c r="AK108" i="3"/>
  <c r="AK117" i="3"/>
  <c r="A114" i="3"/>
  <c r="E431" i="2"/>
  <c r="AF71" i="3"/>
  <c r="AA68" i="3"/>
  <c r="AC26" i="3"/>
  <c r="AE26" i="3" s="1"/>
  <c r="K26" i="3"/>
  <c r="D33" i="3"/>
  <c r="F33" i="3" s="1"/>
  <c r="K24" i="3"/>
  <c r="M24" i="3" s="1"/>
  <c r="D19" i="3"/>
  <c r="Q34" i="3"/>
  <c r="S34" i="3" s="1"/>
  <c r="Q31" i="3"/>
  <c r="S31" i="3" s="1"/>
  <c r="W26" i="3"/>
  <c r="AC30" i="3"/>
  <c r="AE30" i="3" s="1"/>
  <c r="D31" i="3"/>
  <c r="F31" i="3" s="1"/>
  <c r="Q32" i="3"/>
  <c r="S32" i="3" s="1"/>
  <c r="W33" i="3"/>
  <c r="Y33" i="3" s="1"/>
  <c r="W31" i="3"/>
  <c r="Y31" i="3" s="1"/>
  <c r="W15" i="3"/>
  <c r="AC31" i="3"/>
  <c r="AE31" i="3" s="1"/>
  <c r="Q28" i="3"/>
  <c r="K38" i="3"/>
  <c r="D18" i="3"/>
  <c r="D32" i="3"/>
  <c r="F32" i="3" s="1"/>
  <c r="K30" i="3"/>
  <c r="M30" i="3" s="1"/>
  <c r="D15" i="3"/>
  <c r="K18" i="3"/>
  <c r="Q25" i="3"/>
  <c r="Q29" i="3"/>
  <c r="W24" i="3"/>
  <c r="Y24" i="3" s="1"/>
  <c r="W19" i="3"/>
  <c r="W25" i="3"/>
  <c r="D38" i="3"/>
  <c r="K32" i="3"/>
  <c r="M32" i="3" s="1"/>
  <c r="K33" i="3"/>
  <c r="M33" i="3" s="1"/>
  <c r="D26" i="3"/>
  <c r="F26" i="3" s="1"/>
  <c r="Q27" i="3"/>
  <c r="Q23" i="3"/>
  <c r="S23" i="3" s="1"/>
  <c r="W23" i="3"/>
  <c r="Y23" i="3" s="1"/>
  <c r="D23" i="3"/>
  <c r="F23" i="3" s="1"/>
  <c r="K23" i="3"/>
  <c r="K29" i="3"/>
  <c r="D24" i="3"/>
  <c r="F24" i="3" s="1"/>
  <c r="D30" i="3"/>
  <c r="F30" i="3" s="1"/>
  <c r="Q16" i="3"/>
  <c r="Q26" i="3"/>
  <c r="S26" i="3" s="1"/>
  <c r="W18" i="3"/>
  <c r="W14" i="3"/>
  <c r="AC13" i="3"/>
  <c r="K19" i="3"/>
  <c r="K31" i="3"/>
  <c r="M31" i="3" s="1"/>
  <c r="Q24" i="3"/>
  <c r="S24" i="3" s="1"/>
  <c r="Q17" i="3"/>
  <c r="S17" i="3" s="1"/>
  <c r="W29" i="3"/>
  <c r="W38" i="3"/>
  <c r="AC27" i="3"/>
  <c r="AE27" i="3" s="1"/>
  <c r="W13" i="3"/>
  <c r="K34" i="3"/>
  <c r="K14" i="3"/>
  <c r="K17" i="3"/>
  <c r="M17" i="3" s="1"/>
  <c r="D28" i="3"/>
  <c r="K25" i="3"/>
  <c r="K13" i="3"/>
  <c r="Q33" i="3"/>
  <c r="S33" i="3" s="1"/>
  <c r="Q19" i="3"/>
  <c r="W30" i="3"/>
  <c r="Y30" i="3" s="1"/>
  <c r="W27" i="3"/>
  <c r="Y27" i="3" s="1"/>
  <c r="W28" i="3"/>
  <c r="AC24" i="3"/>
  <c r="AE24" i="3" s="1"/>
  <c r="AC15" i="3"/>
  <c r="AC16" i="3"/>
  <c r="AC29" i="3"/>
  <c r="AC14" i="3"/>
  <c r="AC33" i="3"/>
  <c r="AE33" i="3" s="1"/>
  <c r="AC28" i="3"/>
  <c r="AC25" i="3"/>
  <c r="AC17" i="3"/>
  <c r="AE17" i="3" s="1"/>
  <c r="AC19" i="3"/>
  <c r="AC34" i="3"/>
  <c r="W17" i="3"/>
  <c r="Y17" i="3" s="1"/>
  <c r="AC23" i="3"/>
  <c r="AE23" i="3" s="1"/>
  <c r="AC38" i="3"/>
  <c r="AC32" i="3"/>
  <c r="AE32" i="3" s="1"/>
  <c r="W32" i="3"/>
  <c r="Y32" i="3" s="1"/>
  <c r="B70" i="3"/>
  <c r="O70" i="3"/>
  <c r="U111" i="3"/>
  <c r="AA70" i="3"/>
  <c r="I70" i="3"/>
  <c r="O114" i="3"/>
  <c r="B71" i="3"/>
  <c r="AA117" i="3"/>
  <c r="O71" i="3"/>
  <c r="B108" i="3"/>
  <c r="AA77" i="3"/>
  <c r="O19" i="3"/>
  <c r="U19" i="3"/>
  <c r="AA71" i="3"/>
  <c r="U117" i="3"/>
  <c r="I71" i="3"/>
  <c r="B19" i="3"/>
  <c r="U71" i="3"/>
  <c r="AA95" i="3"/>
  <c r="U16" i="3"/>
  <c r="Y16" i="3" s="1"/>
  <c r="O100" i="3"/>
  <c r="U68" i="3"/>
  <c r="B111" i="3"/>
  <c r="B100" i="3"/>
  <c r="AA18" i="3"/>
  <c r="AE18" i="3" s="1"/>
  <c r="I95" i="3"/>
  <c r="B16" i="3"/>
  <c r="F16" i="3" s="1"/>
  <c r="O111" i="3"/>
  <c r="U95" i="3"/>
  <c r="B95" i="3"/>
  <c r="AA114" i="3"/>
  <c r="AA100" i="3"/>
  <c r="AA111" i="3"/>
  <c r="O16" i="3"/>
  <c r="I111" i="3"/>
  <c r="O95" i="3"/>
  <c r="O108" i="3"/>
  <c r="S108" i="3" s="1"/>
  <c r="AA19" i="3"/>
  <c r="I16" i="3"/>
  <c r="M16" i="3" s="1"/>
  <c r="AA16" i="3"/>
  <c r="I100" i="3"/>
  <c r="U108" i="3"/>
  <c r="B68" i="3"/>
  <c r="I108" i="3"/>
  <c r="U100" i="3"/>
  <c r="E41" i="2"/>
  <c r="E188" i="2"/>
  <c r="E83" i="2"/>
  <c r="E136" i="2"/>
  <c r="E346" i="2"/>
  <c r="E162" i="2"/>
  <c r="E232" i="2"/>
  <c r="A39" i="3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A39" i="1"/>
  <c r="E284" i="2"/>
  <c r="E17" i="2"/>
  <c r="E89" i="2"/>
  <c r="E69" i="2"/>
  <c r="E332" i="2"/>
  <c r="E130" i="2"/>
  <c r="E96" i="2"/>
  <c r="E261" i="2"/>
  <c r="E190" i="2"/>
  <c r="E168" i="2"/>
  <c r="E54" i="2"/>
  <c r="E51" i="2"/>
  <c r="E262" i="2"/>
  <c r="E312" i="2"/>
  <c r="U18" i="3"/>
  <c r="U77" i="3"/>
  <c r="B117" i="3"/>
  <c r="AA78" i="3"/>
  <c r="C285" i="2"/>
  <c r="C287" i="2"/>
  <c r="C289" i="2"/>
  <c r="C286" i="2"/>
  <c r="C288" i="2"/>
  <c r="C290" i="2"/>
  <c r="C385" i="2"/>
  <c r="C375" i="2"/>
  <c r="C374" i="2"/>
  <c r="C369" i="2"/>
  <c r="C349" i="2"/>
  <c r="C350" i="2"/>
  <c r="C351" i="2"/>
  <c r="C352" i="2"/>
  <c r="C353" i="2"/>
  <c r="C354" i="2"/>
  <c r="C355" i="2"/>
  <c r="C356" i="2"/>
  <c r="C357" i="2"/>
  <c r="C358" i="2"/>
  <c r="C359" i="2"/>
  <c r="AU89" i="3" s="1"/>
  <c r="C360" i="2"/>
  <c r="C361" i="2"/>
  <c r="C362" i="2"/>
  <c r="C363" i="2"/>
  <c r="C364" i="2"/>
  <c r="C365" i="2"/>
  <c r="C366" i="2"/>
  <c r="C367" i="2"/>
  <c r="C368" i="2"/>
  <c r="AU15" i="3" s="1"/>
  <c r="C370" i="2"/>
  <c r="C371" i="2"/>
  <c r="C372" i="2"/>
  <c r="C373" i="2"/>
  <c r="C376" i="2"/>
  <c r="C377" i="2"/>
  <c r="C378" i="2"/>
  <c r="C379" i="2"/>
  <c r="C380" i="2"/>
  <c r="C381" i="2"/>
  <c r="AU86" i="3" s="1"/>
  <c r="C382" i="2"/>
  <c r="C383" i="2"/>
  <c r="C384" i="2"/>
  <c r="C386" i="2"/>
  <c r="AU87" i="3" s="1"/>
  <c r="C387" i="2"/>
  <c r="C388" i="2"/>
  <c r="C339" i="2"/>
  <c r="C340" i="2"/>
  <c r="C341" i="2"/>
  <c r="C342" i="2"/>
  <c r="C343" i="2"/>
  <c r="C344" i="2"/>
  <c r="C345" i="2"/>
  <c r="C346" i="2"/>
  <c r="C347" i="2"/>
  <c r="C348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284" i="2"/>
  <c r="AF117" i="3"/>
  <c r="AF111" i="3"/>
  <c r="AF101" i="3"/>
  <c r="AF100" i="3"/>
  <c r="AF95" i="3"/>
  <c r="AF77" i="3"/>
  <c r="E316" i="2"/>
  <c r="AF68" i="3"/>
  <c r="AF57" i="3"/>
  <c r="AF56" i="3"/>
  <c r="AF55" i="3"/>
  <c r="AF53" i="3"/>
  <c r="AF52" i="3"/>
  <c r="AF51" i="3"/>
  <c r="AF47" i="3"/>
  <c r="AF46" i="3"/>
  <c r="AH45" i="3"/>
  <c r="AF45" i="3"/>
  <c r="AF44" i="3"/>
  <c r="AF40" i="3"/>
  <c r="AH34" i="3"/>
  <c r="AF34" i="3"/>
  <c r="AH33" i="3"/>
  <c r="AF33" i="3"/>
  <c r="AH32" i="3"/>
  <c r="AF32" i="3"/>
  <c r="AH31" i="3"/>
  <c r="AF31" i="3"/>
  <c r="AH30" i="3"/>
  <c r="AF30" i="3"/>
  <c r="AH29" i="3"/>
  <c r="AF29" i="3"/>
  <c r="AH28" i="3"/>
  <c r="AF28" i="3"/>
  <c r="AH26" i="3"/>
  <c r="AF26" i="3"/>
  <c r="AH25" i="3"/>
  <c r="AF25" i="3"/>
  <c r="AH24" i="3"/>
  <c r="AF24" i="3"/>
  <c r="AF23" i="3"/>
  <c r="AH19" i="3"/>
  <c r="AF19" i="3"/>
  <c r="AH18" i="3"/>
  <c r="AF18" i="3"/>
  <c r="AH17" i="3"/>
  <c r="AF17" i="3"/>
  <c r="AH16" i="3"/>
  <c r="AF16" i="3"/>
  <c r="AH15" i="3"/>
  <c r="AH14" i="3"/>
  <c r="AH13" i="3"/>
  <c r="A12" i="3"/>
  <c r="E382" i="2"/>
  <c r="AH27" i="3"/>
  <c r="AF27" i="3"/>
  <c r="AF108" i="3"/>
  <c r="AF102" i="3"/>
  <c r="AF78" i="3"/>
  <c r="A84" i="3"/>
  <c r="A84" i="1"/>
  <c r="L122" i="1"/>
  <c r="L125" i="1" s="1"/>
  <c r="E278" i="2"/>
  <c r="E308" i="2"/>
  <c r="E153" i="2"/>
  <c r="E324" i="2"/>
  <c r="A76" i="3"/>
  <c r="E375" i="2"/>
  <c r="E374" i="2"/>
  <c r="O68" i="3"/>
  <c r="I18" i="3"/>
  <c r="B77" i="3"/>
  <c r="I78" i="3"/>
  <c r="O101" i="3"/>
  <c r="I68" i="3"/>
  <c r="B18" i="3"/>
  <c r="O117" i="3"/>
  <c r="I77" i="3"/>
  <c r="I117" i="3"/>
  <c r="O77" i="3"/>
  <c r="O18" i="3"/>
  <c r="S18" i="3" s="1"/>
  <c r="U78" i="3"/>
  <c r="U101" i="3"/>
  <c r="O78" i="3"/>
  <c r="M26" i="3"/>
  <c r="B101" i="3"/>
  <c r="U70" i="3"/>
  <c r="E222" i="2"/>
  <c r="E60" i="2"/>
  <c r="E123" i="2"/>
  <c r="E243" i="2"/>
  <c r="E9" i="2"/>
  <c r="E271" i="2"/>
  <c r="E200" i="2"/>
  <c r="E22" i="2"/>
  <c r="E226" i="2"/>
  <c r="E97" i="2"/>
  <c r="E156" i="2"/>
  <c r="E194" i="2"/>
  <c r="A111" i="1"/>
  <c r="E220" i="2"/>
  <c r="E289" i="2"/>
  <c r="E117" i="2"/>
  <c r="E347" i="2"/>
  <c r="F17" i="3"/>
  <c r="W57" i="3"/>
  <c r="E25" i="2"/>
  <c r="E14" i="2"/>
  <c r="E61" i="2"/>
  <c r="E302" i="2"/>
  <c r="E283" i="2"/>
  <c r="E277" i="2"/>
  <c r="E44" i="2"/>
  <c r="E254" i="2"/>
  <c r="E210" i="2"/>
  <c r="E178" i="2"/>
  <c r="E113" i="2"/>
  <c r="E79" i="2"/>
  <c r="E270" i="2"/>
  <c r="E253" i="2"/>
  <c r="E235" i="2"/>
  <c r="E172" i="2"/>
  <c r="E140" i="2"/>
  <c r="E107" i="2"/>
  <c r="E73" i="2"/>
  <c r="E206" i="2"/>
  <c r="E174" i="2"/>
  <c r="E134" i="2"/>
  <c r="E101" i="2"/>
  <c r="E67" i="2"/>
  <c r="E216" i="2"/>
  <c r="E152" i="2"/>
  <c r="E119" i="2"/>
  <c r="E85" i="2"/>
  <c r="E6" i="2"/>
  <c r="S30" i="3"/>
  <c r="E244" i="2"/>
  <c r="E336" i="2"/>
  <c r="E328" i="2"/>
  <c r="E320" i="2"/>
  <c r="E304" i="2"/>
  <c r="E342" i="2"/>
  <c r="E23" i="2"/>
  <c r="E28" i="2"/>
  <c r="E13" i="2"/>
  <c r="E63" i="2"/>
  <c r="E300" i="2"/>
  <c r="E281" i="2"/>
  <c r="E275" i="2"/>
  <c r="E53" i="2"/>
  <c r="E242" i="2"/>
  <c r="E250" i="2"/>
  <c r="E207" i="2"/>
  <c r="E173" i="2"/>
  <c r="E141" i="2"/>
  <c r="E108" i="2"/>
  <c r="E74" i="2"/>
  <c r="E268" i="2"/>
  <c r="E251" i="2"/>
  <c r="E233" i="2"/>
  <c r="E201" i="2"/>
  <c r="E167" i="2"/>
  <c r="E135" i="2"/>
  <c r="E102" i="2"/>
  <c r="E68" i="2"/>
  <c r="E169" i="2"/>
  <c r="E129" i="2"/>
  <c r="E238" i="2"/>
  <c r="E213" i="2"/>
  <c r="E179" i="2"/>
  <c r="E114" i="2"/>
  <c r="E80" i="2"/>
  <c r="A67" i="1"/>
  <c r="E258" i="2"/>
  <c r="E335" i="2"/>
  <c r="E327" i="2"/>
  <c r="E319" i="2"/>
  <c r="E311" i="2"/>
  <c r="E303" i="2"/>
  <c r="E341" i="2"/>
  <c r="E21" i="2"/>
  <c r="E11" i="2"/>
  <c r="E26" i="2"/>
  <c r="E59" i="2"/>
  <c r="E298" i="2"/>
  <c r="E273" i="2"/>
  <c r="E269" i="2"/>
  <c r="E49" i="2"/>
  <c r="E62" i="2"/>
  <c r="E240" i="2"/>
  <c r="E170" i="2"/>
  <c r="E138" i="2"/>
  <c r="E105" i="2"/>
  <c r="E71" i="2"/>
  <c r="E249" i="2"/>
  <c r="E228" i="2"/>
  <c r="E196" i="2"/>
  <c r="E164" i="2"/>
  <c r="E132" i="2"/>
  <c r="E99" i="2"/>
  <c r="E230" i="2"/>
  <c r="E198" i="2"/>
  <c r="E161" i="2"/>
  <c r="E125" i="2"/>
  <c r="E91" i="2"/>
  <c r="E236" i="2"/>
  <c r="E208" i="2"/>
  <c r="E176" i="2"/>
  <c r="E111" i="2"/>
  <c r="E77" i="2"/>
  <c r="E191" i="2"/>
  <c r="Y34" i="3"/>
  <c r="E334" i="2"/>
  <c r="E326" i="2"/>
  <c r="E318" i="2"/>
  <c r="E310" i="2"/>
  <c r="E340" i="2"/>
  <c r="E19" i="2"/>
  <c r="E24" i="2"/>
  <c r="E10" i="2"/>
  <c r="E55" i="2"/>
  <c r="E296" i="2"/>
  <c r="E248" i="2"/>
  <c r="E45" i="2"/>
  <c r="E291" i="2"/>
  <c r="E57" i="2"/>
  <c r="E279" i="2"/>
  <c r="E231" i="2"/>
  <c r="E199" i="2"/>
  <c r="E133" i="2"/>
  <c r="E100" i="2"/>
  <c r="E280" i="2"/>
  <c r="E264" i="2"/>
  <c r="E247" i="2"/>
  <c r="E225" i="2"/>
  <c r="E193" i="2"/>
  <c r="E159" i="2"/>
  <c r="E92" i="2"/>
  <c r="E227" i="2"/>
  <c r="E195" i="2"/>
  <c r="E158" i="2"/>
  <c r="E120" i="2"/>
  <c r="E86" i="2"/>
  <c r="E234" i="2"/>
  <c r="E205" i="2"/>
  <c r="E171" i="2"/>
  <c r="E139" i="2"/>
  <c r="E106" i="2"/>
  <c r="E72" i="2"/>
  <c r="E7" i="2"/>
  <c r="E5" i="2"/>
  <c r="M34" i="3"/>
  <c r="E333" i="2"/>
  <c r="E325" i="2"/>
  <c r="E317" i="2"/>
  <c r="E309" i="2"/>
  <c r="AE34" i="3"/>
  <c r="A67" i="3"/>
  <c r="E369" i="2"/>
  <c r="E15" i="2"/>
  <c r="E20" i="2"/>
  <c r="E47" i="2"/>
  <c r="E50" i="2"/>
  <c r="E256" i="2"/>
  <c r="E287" i="2"/>
  <c r="E56" i="2"/>
  <c r="E267" i="2"/>
  <c r="E223" i="2"/>
  <c r="E189" i="2"/>
  <c r="E157" i="2"/>
  <c r="E124" i="2"/>
  <c r="E90" i="2"/>
  <c r="E276" i="2"/>
  <c r="E260" i="2"/>
  <c r="E241" i="2"/>
  <c r="E217" i="2"/>
  <c r="E183" i="2"/>
  <c r="E151" i="2"/>
  <c r="E118" i="2"/>
  <c r="E84" i="2"/>
  <c r="E219" i="2"/>
  <c r="E150" i="2"/>
  <c r="E112" i="2"/>
  <c r="E78" i="2"/>
  <c r="E229" i="2"/>
  <c r="E197" i="2"/>
  <c r="E163" i="2"/>
  <c r="E131" i="2"/>
  <c r="E98" i="2"/>
  <c r="E65" i="2"/>
  <c r="E166" i="2"/>
  <c r="E288" i="2"/>
  <c r="E331" i="2"/>
  <c r="E323" i="2"/>
  <c r="E315" i="2"/>
  <c r="E307" i="2"/>
  <c r="E345" i="2"/>
  <c r="E29" i="2"/>
  <c r="E8" i="2"/>
  <c r="E18" i="2"/>
  <c r="E43" i="2"/>
  <c r="E290" i="2"/>
  <c r="E46" i="2"/>
  <c r="E252" i="2"/>
  <c r="E301" i="2"/>
  <c r="E285" i="2"/>
  <c r="E52" i="2"/>
  <c r="E263" i="2"/>
  <c r="E218" i="2"/>
  <c r="E154" i="2"/>
  <c r="E121" i="2"/>
  <c r="E87" i="2"/>
  <c r="E274" i="2"/>
  <c r="E257" i="2"/>
  <c r="E239" i="2"/>
  <c r="E212" i="2"/>
  <c r="E180" i="2"/>
  <c r="E148" i="2"/>
  <c r="E115" i="2"/>
  <c r="E81" i="2"/>
  <c r="E214" i="2"/>
  <c r="E182" i="2"/>
  <c r="E142" i="2"/>
  <c r="E109" i="2"/>
  <c r="E75" i="2"/>
  <c r="E224" i="2"/>
  <c r="E160" i="2"/>
  <c r="E128" i="2"/>
  <c r="E64" i="2"/>
  <c r="E338" i="2"/>
  <c r="E330" i="2"/>
  <c r="E322" i="2"/>
  <c r="E306" i="2"/>
  <c r="E344" i="2"/>
  <c r="E27" i="2"/>
  <c r="E12" i="2"/>
  <c r="E16" i="2"/>
  <c r="E58" i="2"/>
  <c r="E286" i="2"/>
  <c r="E42" i="2"/>
  <c r="E246" i="2"/>
  <c r="E299" i="2"/>
  <c r="E282" i="2"/>
  <c r="E48" i="2"/>
  <c r="E259" i="2"/>
  <c r="E215" i="2"/>
  <c r="E181" i="2"/>
  <c r="E116" i="2"/>
  <c r="E82" i="2"/>
  <c r="E272" i="2"/>
  <c r="E255" i="2"/>
  <c r="E237" i="2"/>
  <c r="E209" i="2"/>
  <c r="E175" i="2"/>
  <c r="E110" i="2"/>
  <c r="E76" i="2"/>
  <c r="E211" i="2"/>
  <c r="E177" i="2"/>
  <c r="E137" i="2"/>
  <c r="E104" i="2"/>
  <c r="E70" i="2"/>
  <c r="E221" i="2"/>
  <c r="E155" i="2"/>
  <c r="E122" i="2"/>
  <c r="E88" i="2"/>
  <c r="E66" i="2"/>
  <c r="E245" i="2"/>
  <c r="E337" i="2"/>
  <c r="E329" i="2"/>
  <c r="E321" i="2"/>
  <c r="E305" i="2"/>
  <c r="E343" i="2"/>
  <c r="U48" i="3"/>
  <c r="AA48" i="3"/>
  <c r="A105" i="1"/>
  <c r="A104" i="3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70" i="2"/>
  <c r="E371" i="2"/>
  <c r="E372" i="2"/>
  <c r="E373" i="2"/>
  <c r="E376" i="2"/>
  <c r="E377" i="2"/>
  <c r="E378" i="2"/>
  <c r="E379" i="2"/>
  <c r="E380" i="2"/>
  <c r="E381" i="2"/>
  <c r="E383" i="2"/>
  <c r="E384" i="2"/>
  <c r="E385" i="2"/>
  <c r="E386" i="2"/>
  <c r="E387" i="2"/>
  <c r="E388" i="2"/>
  <c r="AU93" i="3" l="1"/>
  <c r="AU54" i="3"/>
  <c r="AU58" i="3" s="1"/>
  <c r="AU13" i="3"/>
  <c r="AY13" i="3" s="1"/>
  <c r="AU72" i="3"/>
  <c r="AU85" i="3"/>
  <c r="AU109" i="3"/>
  <c r="AU48" i="3"/>
  <c r="AY15" i="3"/>
  <c r="F18" i="3"/>
  <c r="AE16" i="3"/>
  <c r="AY17" i="3"/>
  <c r="AY24" i="3"/>
  <c r="AY18" i="3"/>
  <c r="AY26" i="3"/>
  <c r="AY19" i="3"/>
  <c r="AY27" i="3"/>
  <c r="AY16" i="3"/>
  <c r="AY23" i="3"/>
  <c r="AW67" i="3"/>
  <c r="AU67" i="3"/>
  <c r="AW76" i="3"/>
  <c r="AU76" i="3"/>
  <c r="AW84" i="3"/>
  <c r="AU84" i="3"/>
  <c r="AW12" i="3"/>
  <c r="AW20" i="3" s="1"/>
  <c r="AU12" i="3"/>
  <c r="AR12" i="3"/>
  <c r="AP12" i="3"/>
  <c r="B12" i="3"/>
  <c r="U12" i="3"/>
  <c r="AF110" i="3"/>
  <c r="AU110" i="3"/>
  <c r="AU116" i="3"/>
  <c r="AU99" i="3"/>
  <c r="AU80" i="3"/>
  <c r="AU94" i="3"/>
  <c r="AU14" i="3"/>
  <c r="AY14" i="3" s="1"/>
  <c r="AU82" i="3"/>
  <c r="AF115" i="3"/>
  <c r="AU115" i="3"/>
  <c r="AU113" i="3"/>
  <c r="AU81" i="3"/>
  <c r="O103" i="3"/>
  <c r="AU103" i="3"/>
  <c r="AY103" i="3" s="1"/>
  <c r="AP38" i="3"/>
  <c r="AU38" i="3"/>
  <c r="AP69" i="3"/>
  <c r="AU69" i="3"/>
  <c r="AU112" i="3"/>
  <c r="AU83" i="3"/>
  <c r="AW39" i="3"/>
  <c r="AU39" i="3"/>
  <c r="AW114" i="3"/>
  <c r="AU114" i="3"/>
  <c r="AW111" i="3"/>
  <c r="AU111" i="3"/>
  <c r="AP88" i="3"/>
  <c r="AU88" i="3"/>
  <c r="AW25" i="3"/>
  <c r="AU25" i="3"/>
  <c r="AW81" i="3"/>
  <c r="AW108" i="3"/>
  <c r="AY102" i="3"/>
  <c r="AW113" i="3"/>
  <c r="AW78" i="3"/>
  <c r="AY78" i="3" s="1"/>
  <c r="AW69" i="3"/>
  <c r="AW29" i="3"/>
  <c r="AW117" i="3"/>
  <c r="AY117" i="3" s="1"/>
  <c r="AW116" i="3"/>
  <c r="AW115" i="3"/>
  <c r="AW112" i="3"/>
  <c r="AW110" i="3"/>
  <c r="AW109" i="3"/>
  <c r="AW95" i="3"/>
  <c r="AW94" i="3"/>
  <c r="AW93" i="3"/>
  <c r="AW89" i="3"/>
  <c r="AY89" i="3" s="1"/>
  <c r="AW88" i="3"/>
  <c r="AW87" i="3"/>
  <c r="AY87" i="3" s="1"/>
  <c r="AW86" i="3"/>
  <c r="AY86" i="3" s="1"/>
  <c r="AW85" i="3"/>
  <c r="AY85" i="3" s="1"/>
  <c r="AW83" i="3"/>
  <c r="AW82" i="3"/>
  <c r="AW80" i="3"/>
  <c r="AW77" i="3"/>
  <c r="AY77" i="3" s="1"/>
  <c r="AW72" i="3"/>
  <c r="AY72" i="3" s="1"/>
  <c r="AW71" i="3"/>
  <c r="AY71" i="3" s="1"/>
  <c r="AW70" i="3"/>
  <c r="AY70" i="3" s="1"/>
  <c r="AW68" i="3"/>
  <c r="AY68" i="3" s="1"/>
  <c r="AW57" i="3"/>
  <c r="AY57" i="3" s="1"/>
  <c r="AW56" i="3"/>
  <c r="AY56" i="3" s="1"/>
  <c r="AW55" i="3"/>
  <c r="AY55" i="3" s="1"/>
  <c r="AW54" i="3"/>
  <c r="AW53" i="3"/>
  <c r="AY53" i="3" s="1"/>
  <c r="AW52" i="3"/>
  <c r="AY52" i="3" s="1"/>
  <c r="AW51" i="3"/>
  <c r="AW47" i="3"/>
  <c r="AY47" i="3" s="1"/>
  <c r="AW46" i="3"/>
  <c r="AY46" i="3" s="1"/>
  <c r="AW45" i="3"/>
  <c r="AY45" i="3" s="1"/>
  <c r="AW44" i="3"/>
  <c r="AW40" i="3"/>
  <c r="AY40" i="3" s="1"/>
  <c r="AW38" i="3"/>
  <c r="AW34" i="3"/>
  <c r="AY34" i="3" s="1"/>
  <c r="AW33" i="3"/>
  <c r="AY33" i="3" s="1"/>
  <c r="AW32" i="3"/>
  <c r="AY32" i="3" s="1"/>
  <c r="AW31" i="3"/>
  <c r="AY31" i="3" s="1"/>
  <c r="AW30" i="3"/>
  <c r="AY30" i="3" s="1"/>
  <c r="AW28" i="3"/>
  <c r="AU28" i="3"/>
  <c r="AA28" i="3"/>
  <c r="AE28" i="3" s="1"/>
  <c r="U28" i="3"/>
  <c r="Y28" i="3" s="1"/>
  <c r="O28" i="3"/>
  <c r="S28" i="3" s="1"/>
  <c r="I28" i="3"/>
  <c r="M28" i="3" s="1"/>
  <c r="B28" i="3"/>
  <c r="F28" i="3" s="1"/>
  <c r="AW79" i="3"/>
  <c r="AR79" i="3"/>
  <c r="AU79" i="3"/>
  <c r="AW104" i="3"/>
  <c r="AY104" i="3" s="1"/>
  <c r="AW102" i="3"/>
  <c r="AU29" i="3"/>
  <c r="AA29" i="3"/>
  <c r="AE29" i="3" s="1"/>
  <c r="I29" i="3"/>
  <c r="M29" i="3" s="1"/>
  <c r="B29" i="3"/>
  <c r="F29" i="3" s="1"/>
  <c r="O29" i="3"/>
  <c r="S29" i="3" s="1"/>
  <c r="U29" i="3"/>
  <c r="Y29" i="3" s="1"/>
  <c r="AO27" i="3"/>
  <c r="I88" i="3"/>
  <c r="O88" i="3"/>
  <c r="AF88" i="3"/>
  <c r="U88" i="3"/>
  <c r="AA88" i="3"/>
  <c r="AK88" i="3"/>
  <c r="B88" i="3"/>
  <c r="AF15" i="3"/>
  <c r="AJ15" i="3" s="1"/>
  <c r="AA25" i="3"/>
  <c r="B25" i="3"/>
  <c r="U25" i="3"/>
  <c r="O25" i="3"/>
  <c r="I25" i="3"/>
  <c r="AT27" i="3"/>
  <c r="AF39" i="3"/>
  <c r="AA13" i="3"/>
  <c r="AE13" i="3" s="1"/>
  <c r="AP85" i="3"/>
  <c r="AP48" i="3"/>
  <c r="AK48" i="3"/>
  <c r="AR104" i="3"/>
  <c r="AT104" i="3" s="1"/>
  <c r="AM104" i="3"/>
  <c r="AO104" i="3" s="1"/>
  <c r="AR67" i="3"/>
  <c r="AM67" i="3"/>
  <c r="AR76" i="3"/>
  <c r="AM76" i="3"/>
  <c r="AP84" i="3"/>
  <c r="AR84" i="3"/>
  <c r="AM84" i="3"/>
  <c r="AO84" i="3" s="1"/>
  <c r="AM12" i="3"/>
  <c r="AH12" i="3"/>
  <c r="AH20" i="3" s="1"/>
  <c r="AK12" i="3"/>
  <c r="AP116" i="3"/>
  <c r="AK87" i="3"/>
  <c r="AP87" i="3"/>
  <c r="AA86" i="3"/>
  <c r="AP86" i="3"/>
  <c r="AK76" i="3"/>
  <c r="AF89" i="3"/>
  <c r="AP89" i="3"/>
  <c r="AH56" i="3"/>
  <c r="AJ56" i="3" s="1"/>
  <c r="AR110" i="3"/>
  <c r="AM110" i="3"/>
  <c r="AR109" i="3"/>
  <c r="AM109" i="3"/>
  <c r="AM103" i="3"/>
  <c r="AM99" i="3"/>
  <c r="AH99" i="3"/>
  <c r="AR95" i="3"/>
  <c r="AM95" i="3"/>
  <c r="AR94" i="3"/>
  <c r="AM94" i="3"/>
  <c r="AR93" i="3"/>
  <c r="AM93" i="3"/>
  <c r="AH93" i="3"/>
  <c r="AR89" i="3"/>
  <c r="AM89" i="3"/>
  <c r="AR88" i="3"/>
  <c r="AM88" i="3"/>
  <c r="AR87" i="3"/>
  <c r="AM87" i="3"/>
  <c r="AR86" i="3"/>
  <c r="AM86" i="3"/>
  <c r="AR85" i="3"/>
  <c r="AM85" i="3"/>
  <c r="AR83" i="3"/>
  <c r="AM83" i="3"/>
  <c r="AR82" i="3"/>
  <c r="AM82" i="3"/>
  <c r="AM80" i="3"/>
  <c r="AM79" i="3"/>
  <c r="AR77" i="3"/>
  <c r="AT77" i="3" s="1"/>
  <c r="AM77" i="3"/>
  <c r="AR72" i="3"/>
  <c r="AM72" i="3"/>
  <c r="AR71" i="3"/>
  <c r="AT71" i="3" s="1"/>
  <c r="AM71" i="3"/>
  <c r="AO71" i="3" s="1"/>
  <c r="AR70" i="3"/>
  <c r="AT70" i="3" s="1"/>
  <c r="AM70" i="3"/>
  <c r="AO70" i="3" s="1"/>
  <c r="AR68" i="3"/>
  <c r="AT68" i="3" s="1"/>
  <c r="AM68" i="3"/>
  <c r="AR57" i="3"/>
  <c r="AM57" i="3"/>
  <c r="AR56" i="3"/>
  <c r="AM56" i="3"/>
  <c r="AR55" i="3"/>
  <c r="AM55" i="3"/>
  <c r="AR54" i="3"/>
  <c r="AM54" i="3"/>
  <c r="AR53" i="3"/>
  <c r="AM53" i="3"/>
  <c r="AR52" i="3"/>
  <c r="AM52" i="3"/>
  <c r="AR51" i="3"/>
  <c r="AM51" i="3"/>
  <c r="AH51" i="3"/>
  <c r="AJ51" i="3" s="1"/>
  <c r="AR47" i="3"/>
  <c r="AM47" i="3"/>
  <c r="AR46" i="3"/>
  <c r="AM46" i="3"/>
  <c r="AR45" i="3"/>
  <c r="AM45" i="3"/>
  <c r="AR44" i="3"/>
  <c r="AM44" i="3"/>
  <c r="AH44" i="3"/>
  <c r="AR40" i="3"/>
  <c r="AM40" i="3"/>
  <c r="AM81" i="3"/>
  <c r="AR108" i="3"/>
  <c r="AM108" i="3"/>
  <c r="AH108" i="3"/>
  <c r="AJ108" i="3" s="1"/>
  <c r="AR102" i="3"/>
  <c r="AT102" i="3" s="1"/>
  <c r="AM102" i="3"/>
  <c r="AO102" i="3" s="1"/>
  <c r="AR78" i="3"/>
  <c r="AT78" i="3" s="1"/>
  <c r="AM78" i="3"/>
  <c r="AR69" i="3"/>
  <c r="AM69" i="3"/>
  <c r="AR117" i="3"/>
  <c r="AR112" i="3"/>
  <c r="AR113" i="3"/>
  <c r="AR115" i="3"/>
  <c r="AR116" i="3"/>
  <c r="AM112" i="3"/>
  <c r="AM113" i="3"/>
  <c r="AM115" i="3"/>
  <c r="AM116" i="3"/>
  <c r="AM117" i="3"/>
  <c r="AR39" i="3"/>
  <c r="AM39" i="3"/>
  <c r="AK39" i="3"/>
  <c r="AP39" i="3"/>
  <c r="AF114" i="3"/>
  <c r="AP114" i="3"/>
  <c r="AR114" i="3"/>
  <c r="AO78" i="3"/>
  <c r="AO68" i="3"/>
  <c r="AO77" i="3"/>
  <c r="AK35" i="3"/>
  <c r="AP35" i="3"/>
  <c r="AR111" i="3"/>
  <c r="AM111" i="3"/>
  <c r="Y18" i="3"/>
  <c r="Y19" i="3"/>
  <c r="AP99" i="3"/>
  <c r="AP54" i="3"/>
  <c r="AP58" i="3" s="1"/>
  <c r="U89" i="3"/>
  <c r="AP81" i="3"/>
  <c r="AT81" i="3" s="1"/>
  <c r="O115" i="3"/>
  <c r="AP83" i="3"/>
  <c r="AP93" i="3"/>
  <c r="B89" i="3"/>
  <c r="AP14" i="3"/>
  <c r="AP112" i="3"/>
  <c r="AP109" i="3"/>
  <c r="AP67" i="3"/>
  <c r="AP113" i="3"/>
  <c r="AP79" i="3"/>
  <c r="AP80" i="3"/>
  <c r="AT80" i="3" s="1"/>
  <c r="AP94" i="3"/>
  <c r="AP82" i="3"/>
  <c r="AT82" i="3" s="1"/>
  <c r="AP72" i="3"/>
  <c r="B103" i="3"/>
  <c r="AP103" i="3"/>
  <c r="B110" i="3"/>
  <c r="AP110" i="3"/>
  <c r="AA110" i="3"/>
  <c r="AP13" i="3"/>
  <c r="AP115" i="3"/>
  <c r="AP15" i="3"/>
  <c r="AP76" i="3"/>
  <c r="AT18" i="3"/>
  <c r="AT16" i="3"/>
  <c r="AO28" i="3"/>
  <c r="AT28" i="3"/>
  <c r="AO29" i="3"/>
  <c r="AT29" i="3"/>
  <c r="AO30" i="3"/>
  <c r="AT30" i="3"/>
  <c r="AO26" i="3"/>
  <c r="AT26" i="3"/>
  <c r="AO34" i="3"/>
  <c r="AT34" i="3"/>
  <c r="AO24" i="3"/>
  <c r="AT24" i="3"/>
  <c r="AO25" i="3"/>
  <c r="AT25" i="3"/>
  <c r="AO33" i="3"/>
  <c r="AT33" i="3"/>
  <c r="AO17" i="3"/>
  <c r="AT17" i="3"/>
  <c r="AR35" i="3"/>
  <c r="AT23" i="3"/>
  <c r="AO32" i="3"/>
  <c r="AT32" i="3"/>
  <c r="AO31" i="3"/>
  <c r="AT31" i="3"/>
  <c r="O110" i="3"/>
  <c r="I103" i="3"/>
  <c r="I110" i="3"/>
  <c r="U103" i="3"/>
  <c r="AA103" i="3"/>
  <c r="AA115" i="3"/>
  <c r="U115" i="3"/>
  <c r="O89" i="3"/>
  <c r="M19" i="3"/>
  <c r="AO16" i="3"/>
  <c r="AK79" i="3"/>
  <c r="AK109" i="3"/>
  <c r="AK14" i="3"/>
  <c r="AK80" i="3"/>
  <c r="AK72" i="3"/>
  <c r="AO72" i="3" s="1"/>
  <c r="AK67" i="3"/>
  <c r="AK94" i="3"/>
  <c r="AK82" i="3"/>
  <c r="AK99" i="3"/>
  <c r="AK115" i="3"/>
  <c r="AK85" i="3"/>
  <c r="AK81" i="3"/>
  <c r="AO81" i="3" s="1"/>
  <c r="AK112" i="3"/>
  <c r="AK54" i="3"/>
  <c r="AK58" i="3" s="1"/>
  <c r="AK113" i="3"/>
  <c r="AK83" i="3"/>
  <c r="AO83" i="3" s="1"/>
  <c r="AK116" i="3"/>
  <c r="AK93" i="3"/>
  <c r="AF38" i="3"/>
  <c r="AK38" i="3"/>
  <c r="AK110" i="3"/>
  <c r="AO18" i="3"/>
  <c r="AK13" i="3"/>
  <c r="AF69" i="3"/>
  <c r="AK69" i="3"/>
  <c r="AK103" i="3"/>
  <c r="AK15" i="3"/>
  <c r="AK89" i="3"/>
  <c r="AK86" i="3"/>
  <c r="B114" i="3"/>
  <c r="I114" i="3"/>
  <c r="U114" i="3"/>
  <c r="AK114" i="3"/>
  <c r="AM114" i="3"/>
  <c r="K35" i="3"/>
  <c r="AM35" i="3"/>
  <c r="AO23" i="3"/>
  <c r="M23" i="3"/>
  <c r="M18" i="3"/>
  <c r="F19" i="3"/>
  <c r="S19" i="3"/>
  <c r="AF103" i="3"/>
  <c r="Q35" i="3"/>
  <c r="W35" i="3"/>
  <c r="AH53" i="3"/>
  <c r="AJ53" i="3" s="1"/>
  <c r="AC103" i="3"/>
  <c r="AH46" i="3"/>
  <c r="AJ46" i="3" s="1"/>
  <c r="AH54" i="3"/>
  <c r="AC35" i="3"/>
  <c r="D35" i="3"/>
  <c r="AH39" i="3"/>
  <c r="AH47" i="3"/>
  <c r="AH55" i="3"/>
  <c r="AJ55" i="3" s="1"/>
  <c r="S16" i="3"/>
  <c r="AC114" i="3"/>
  <c r="AE114" i="3" s="1"/>
  <c r="Y26" i="3"/>
  <c r="K57" i="3"/>
  <c r="M57" i="3" s="1"/>
  <c r="AH52" i="3"/>
  <c r="AJ52" i="3" s="1"/>
  <c r="AC88" i="3"/>
  <c r="AC68" i="3"/>
  <c r="AE68" i="3" s="1"/>
  <c r="AH40" i="3"/>
  <c r="AJ40" i="3" s="1"/>
  <c r="W56" i="3"/>
  <c r="Y56" i="3" s="1"/>
  <c r="AH57" i="3"/>
  <c r="AH104" i="3"/>
  <c r="AJ104" i="3" s="1"/>
  <c r="AC102" i="3"/>
  <c r="AE102" i="3" s="1"/>
  <c r="AC86" i="3"/>
  <c r="AC70" i="3"/>
  <c r="AE70" i="3" s="1"/>
  <c r="AE19" i="3"/>
  <c r="AF113" i="3"/>
  <c r="AF112" i="3"/>
  <c r="AA99" i="3"/>
  <c r="AF54" i="3"/>
  <c r="AF58" i="3" s="1"/>
  <c r="I72" i="3"/>
  <c r="AA81" i="3"/>
  <c r="AF99" i="3"/>
  <c r="AF72" i="3"/>
  <c r="B80" i="3"/>
  <c r="U14" i="3"/>
  <c r="Y14" i="3" s="1"/>
  <c r="B116" i="3"/>
  <c r="AF109" i="3"/>
  <c r="U72" i="3"/>
  <c r="U81" i="3"/>
  <c r="O80" i="3"/>
  <c r="AF81" i="3"/>
  <c r="AA80" i="3"/>
  <c r="AF80" i="3"/>
  <c r="AF14" i="3"/>
  <c r="AJ14" i="3" s="1"/>
  <c r="I83" i="3"/>
  <c r="U116" i="3"/>
  <c r="B112" i="3"/>
  <c r="O83" i="3"/>
  <c r="AF79" i="3"/>
  <c r="AF85" i="3"/>
  <c r="AA14" i="3"/>
  <c r="AE14" i="3" s="1"/>
  <c r="AF116" i="3"/>
  <c r="B83" i="3"/>
  <c r="B94" i="3"/>
  <c r="AA83" i="3"/>
  <c r="O112" i="3"/>
  <c r="AF83" i="3"/>
  <c r="I86" i="3"/>
  <c r="AF93" i="3"/>
  <c r="O86" i="3"/>
  <c r="O14" i="3"/>
  <c r="S14" i="3" s="1"/>
  <c r="I14" i="3"/>
  <c r="M14" i="3" s="1"/>
  <c r="B76" i="3"/>
  <c r="AA116" i="3"/>
  <c r="I13" i="3"/>
  <c r="M13" i="3" s="1"/>
  <c r="AA112" i="3"/>
  <c r="AF82" i="3"/>
  <c r="AA94" i="3"/>
  <c r="B13" i="3"/>
  <c r="F13" i="3" s="1"/>
  <c r="U13" i="3"/>
  <c r="Y13" i="3" s="1"/>
  <c r="O94" i="3"/>
  <c r="AF94" i="3"/>
  <c r="I116" i="3"/>
  <c r="U112" i="3"/>
  <c r="O13" i="3"/>
  <c r="S13" i="3" s="1"/>
  <c r="AF13" i="3"/>
  <c r="AJ13" i="3" s="1"/>
  <c r="W53" i="3"/>
  <c r="Y53" i="3" s="1"/>
  <c r="W46" i="3"/>
  <c r="Y46" i="3" s="1"/>
  <c r="Q52" i="3"/>
  <c r="S52" i="3" s="1"/>
  <c r="Q55" i="3"/>
  <c r="S55" i="3" s="1"/>
  <c r="AC45" i="3"/>
  <c r="AE45" i="3" s="1"/>
  <c r="AC53" i="3"/>
  <c r="AE53" i="3" s="1"/>
  <c r="AC54" i="3"/>
  <c r="Q45" i="3"/>
  <c r="S45" i="3" s="1"/>
  <c r="Q51" i="3"/>
  <c r="S51" i="3" s="1"/>
  <c r="Q54" i="3"/>
  <c r="D44" i="3"/>
  <c r="F44" i="3" s="1"/>
  <c r="D53" i="3"/>
  <c r="F53" i="3" s="1"/>
  <c r="Q44" i="3"/>
  <c r="S44" i="3" s="1"/>
  <c r="D47" i="3"/>
  <c r="F47" i="3" s="1"/>
  <c r="AC47" i="3"/>
  <c r="AE47" i="3" s="1"/>
  <c r="W47" i="3"/>
  <c r="Y47" i="3" s="1"/>
  <c r="W52" i="3"/>
  <c r="Y52" i="3" s="1"/>
  <c r="Q47" i="3"/>
  <c r="S47" i="3" s="1"/>
  <c r="K45" i="3"/>
  <c r="M45" i="3" s="1"/>
  <c r="K52" i="3"/>
  <c r="M52" i="3" s="1"/>
  <c r="D46" i="3"/>
  <c r="F46" i="3" s="1"/>
  <c r="D55" i="3"/>
  <c r="F55" i="3" s="1"/>
  <c r="K54" i="3"/>
  <c r="K53" i="3"/>
  <c r="M53" i="3" s="1"/>
  <c r="K56" i="3"/>
  <c r="M56" i="3" s="1"/>
  <c r="D45" i="3"/>
  <c r="F45" i="3" s="1"/>
  <c r="AC44" i="3"/>
  <c r="K51" i="3"/>
  <c r="M51" i="3" s="1"/>
  <c r="AC52" i="3"/>
  <c r="AE52" i="3" s="1"/>
  <c r="AC57" i="3"/>
  <c r="AE57" i="3" s="1"/>
  <c r="W55" i="3"/>
  <c r="Y55" i="3" s="1"/>
  <c r="Q40" i="3"/>
  <c r="S40" i="3" s="1"/>
  <c r="K46" i="3"/>
  <c r="M46" i="3" s="1"/>
  <c r="D54" i="3"/>
  <c r="D51" i="3"/>
  <c r="F51" i="3" s="1"/>
  <c r="AC56" i="3"/>
  <c r="AE56" i="3" s="1"/>
  <c r="AC55" i="3"/>
  <c r="AE55" i="3" s="1"/>
  <c r="Q46" i="3"/>
  <c r="S46" i="3" s="1"/>
  <c r="K44" i="3"/>
  <c r="M44" i="3" s="1"/>
  <c r="K47" i="3"/>
  <c r="M47" i="3" s="1"/>
  <c r="AC40" i="3"/>
  <c r="AE40" i="3" s="1"/>
  <c r="W51" i="3"/>
  <c r="Y51" i="3" s="1"/>
  <c r="Q57" i="3"/>
  <c r="S57" i="3" s="1"/>
  <c r="Q56" i="3"/>
  <c r="S56" i="3" s="1"/>
  <c r="K55" i="3"/>
  <c r="M55" i="3" s="1"/>
  <c r="D40" i="3"/>
  <c r="F40" i="3" s="1"/>
  <c r="D57" i="3"/>
  <c r="F57" i="3" s="1"/>
  <c r="W54" i="3"/>
  <c r="AC46" i="3"/>
  <c r="AE46" i="3" s="1"/>
  <c r="AC51" i="3"/>
  <c r="W40" i="3"/>
  <c r="Y40" i="3" s="1"/>
  <c r="W45" i="3"/>
  <c r="Y45" i="3" s="1"/>
  <c r="Q53" i="3"/>
  <c r="S53" i="3" s="1"/>
  <c r="K40" i="3"/>
  <c r="M40" i="3" s="1"/>
  <c r="D52" i="3"/>
  <c r="F52" i="3" s="1"/>
  <c r="D56" i="3"/>
  <c r="F56" i="3" s="1"/>
  <c r="W44" i="3"/>
  <c r="O39" i="3"/>
  <c r="W39" i="3"/>
  <c r="W41" i="3" s="1"/>
  <c r="D39" i="3"/>
  <c r="AA39" i="3"/>
  <c r="I39" i="3"/>
  <c r="B39" i="3"/>
  <c r="Q39" i="3"/>
  <c r="Q41" i="3" s="1"/>
  <c r="U39" i="3"/>
  <c r="AC39" i="3"/>
  <c r="K39" i="3"/>
  <c r="AJ17" i="3"/>
  <c r="AJ24" i="3"/>
  <c r="AJ29" i="3"/>
  <c r="AJ33" i="3"/>
  <c r="AJ18" i="3"/>
  <c r="AJ25" i="3"/>
  <c r="AJ30" i="3"/>
  <c r="AJ34" i="3"/>
  <c r="AJ27" i="3"/>
  <c r="AJ19" i="3"/>
  <c r="AJ26" i="3"/>
  <c r="AJ31" i="3"/>
  <c r="AJ45" i="3"/>
  <c r="AJ16" i="3"/>
  <c r="AJ28" i="3"/>
  <c r="AJ32" i="3"/>
  <c r="B82" i="3"/>
  <c r="AA82" i="3"/>
  <c r="U82" i="3"/>
  <c r="O82" i="3"/>
  <c r="AH67" i="3"/>
  <c r="AF67" i="3"/>
  <c r="AH117" i="3"/>
  <c r="AJ117" i="3" s="1"/>
  <c r="AH116" i="3"/>
  <c r="AH115" i="3"/>
  <c r="AH112" i="3"/>
  <c r="AH111" i="3"/>
  <c r="AJ111" i="3" s="1"/>
  <c r="AH110" i="3"/>
  <c r="AH109" i="3"/>
  <c r="AH103" i="3"/>
  <c r="AH101" i="3"/>
  <c r="AH100" i="3"/>
  <c r="AH95" i="3"/>
  <c r="AJ95" i="3" s="1"/>
  <c r="AH94" i="3"/>
  <c r="AH89" i="3"/>
  <c r="AH88" i="3"/>
  <c r="AH87" i="3"/>
  <c r="AH86" i="3"/>
  <c r="AH85" i="3"/>
  <c r="AH83" i="3"/>
  <c r="AH82" i="3"/>
  <c r="AH80" i="3"/>
  <c r="AH79" i="3"/>
  <c r="AH77" i="3"/>
  <c r="AJ77" i="3" s="1"/>
  <c r="AH72" i="3"/>
  <c r="AH71" i="3"/>
  <c r="AJ71" i="3" s="1"/>
  <c r="AH70" i="3"/>
  <c r="AJ70" i="3" s="1"/>
  <c r="AH68" i="3"/>
  <c r="AJ68" i="3" s="1"/>
  <c r="AH81" i="3"/>
  <c r="AH102" i="3"/>
  <c r="AJ102" i="3" s="1"/>
  <c r="AH113" i="3"/>
  <c r="AH78" i="3"/>
  <c r="AJ78" i="3" s="1"/>
  <c r="AH69" i="3"/>
  <c r="AH114" i="3"/>
  <c r="AH84" i="3"/>
  <c r="AJ84" i="3" s="1"/>
  <c r="AF12" i="3"/>
  <c r="AC12" i="3"/>
  <c r="AC20" i="3" s="1"/>
  <c r="W12" i="3"/>
  <c r="K12" i="3"/>
  <c r="K20" i="3" s="1"/>
  <c r="Q12" i="3"/>
  <c r="AA12" i="3"/>
  <c r="D12" i="3"/>
  <c r="D20" i="3" s="1"/>
  <c r="I12" i="3"/>
  <c r="AF35" i="3"/>
  <c r="AJ23" i="3"/>
  <c r="AH35" i="3"/>
  <c r="AF48" i="3"/>
  <c r="AJ44" i="3"/>
  <c r="O72" i="3"/>
  <c r="B72" i="3"/>
  <c r="AA72" i="3"/>
  <c r="O116" i="3"/>
  <c r="B99" i="3"/>
  <c r="U99" i="3"/>
  <c r="O99" i="3"/>
  <c r="I99" i="3"/>
  <c r="U79" i="3"/>
  <c r="I79" i="3"/>
  <c r="O79" i="3"/>
  <c r="B79" i="3"/>
  <c r="AA79" i="3"/>
  <c r="U80" i="3"/>
  <c r="I80" i="3"/>
  <c r="I94" i="3"/>
  <c r="U94" i="3"/>
  <c r="B14" i="3"/>
  <c r="F14" i="3" s="1"/>
  <c r="AA54" i="3"/>
  <c r="I54" i="3"/>
  <c r="U54" i="3"/>
  <c r="B54" i="3"/>
  <c r="O54" i="3"/>
  <c r="B93" i="3"/>
  <c r="O93" i="3"/>
  <c r="U93" i="3"/>
  <c r="I93" i="3"/>
  <c r="AA93" i="3"/>
  <c r="I82" i="3"/>
  <c r="B115" i="3"/>
  <c r="I115" i="3"/>
  <c r="U109" i="3"/>
  <c r="O109" i="3"/>
  <c r="I109" i="3"/>
  <c r="AA109" i="3"/>
  <c r="B109" i="3"/>
  <c r="U113" i="3"/>
  <c r="O113" i="3"/>
  <c r="AA113" i="3"/>
  <c r="U85" i="3"/>
  <c r="I85" i="3"/>
  <c r="B85" i="3"/>
  <c r="AA85" i="3"/>
  <c r="O85" i="3"/>
  <c r="AF87" i="3"/>
  <c r="O87" i="3"/>
  <c r="U87" i="3"/>
  <c r="B87" i="3"/>
  <c r="I87" i="3"/>
  <c r="M87" i="3" s="1"/>
  <c r="AA87" i="3"/>
  <c r="AF86" i="3"/>
  <c r="B86" i="3"/>
  <c r="U86" i="3"/>
  <c r="U110" i="3"/>
  <c r="B15" i="3"/>
  <c r="F15" i="3" s="1"/>
  <c r="O15" i="3"/>
  <c r="S15" i="3" s="1"/>
  <c r="U15" i="3"/>
  <c r="Y15" i="3" s="1"/>
  <c r="AA15" i="3"/>
  <c r="AE15" i="3" s="1"/>
  <c r="I15" i="3"/>
  <c r="M15" i="3" s="1"/>
  <c r="AA89" i="3"/>
  <c r="I89" i="3"/>
  <c r="O81" i="3"/>
  <c r="I81" i="3"/>
  <c r="AA38" i="3"/>
  <c r="U38" i="3"/>
  <c r="I38" i="3"/>
  <c r="O38" i="3"/>
  <c r="B38" i="3"/>
  <c r="I112" i="3"/>
  <c r="U83" i="3"/>
  <c r="Y57" i="3"/>
  <c r="AH76" i="3"/>
  <c r="AF76" i="3"/>
  <c r="AA76" i="3"/>
  <c r="O76" i="3"/>
  <c r="U76" i="3"/>
  <c r="I76" i="3"/>
  <c r="AC99" i="3"/>
  <c r="W102" i="3"/>
  <c r="Y102" i="3" s="1"/>
  <c r="W85" i="3"/>
  <c r="Q70" i="3"/>
  <c r="S70" i="3" s="1"/>
  <c r="Q82" i="3"/>
  <c r="D94" i="3"/>
  <c r="D79" i="3"/>
  <c r="K85" i="3"/>
  <c r="AC83" i="3"/>
  <c r="AC94" i="3"/>
  <c r="W93" i="3"/>
  <c r="W72" i="3"/>
  <c r="Q85" i="3"/>
  <c r="Q87" i="3"/>
  <c r="W99" i="3"/>
  <c r="Q94" i="3"/>
  <c r="Q79" i="3"/>
  <c r="Q86" i="3"/>
  <c r="AC77" i="3"/>
  <c r="AE77" i="3" s="1"/>
  <c r="AC95" i="3"/>
  <c r="AE95" i="3" s="1"/>
  <c r="AC89" i="3"/>
  <c r="W83" i="3"/>
  <c r="Q93" i="3"/>
  <c r="W77" i="3"/>
  <c r="Y77" i="3" s="1"/>
  <c r="W80" i="3"/>
  <c r="Q99" i="3"/>
  <c r="W101" i="3"/>
  <c r="Y101" i="3" s="1"/>
  <c r="W68" i="3"/>
  <c r="Y68" i="3" s="1"/>
  <c r="Q78" i="3"/>
  <c r="S78" i="3" s="1"/>
  <c r="AC85" i="3"/>
  <c r="W70" i="3"/>
  <c r="Y70" i="3" s="1"/>
  <c r="W103" i="3"/>
  <c r="W89" i="3"/>
  <c r="Q88" i="3"/>
  <c r="W87" i="3"/>
  <c r="W71" i="3"/>
  <c r="Y71" i="3" s="1"/>
  <c r="Q101" i="3"/>
  <c r="S101" i="3" s="1"/>
  <c r="AC82" i="3"/>
  <c r="Q103" i="3"/>
  <c r="W86" i="3"/>
  <c r="Q89" i="3"/>
  <c r="Q81" i="3"/>
  <c r="AC93" i="3"/>
  <c r="AC78" i="3"/>
  <c r="AE78" i="3" s="1"/>
  <c r="AC79" i="3"/>
  <c r="K78" i="3"/>
  <c r="M78" i="3" s="1"/>
  <c r="W82" i="3"/>
  <c r="W100" i="3"/>
  <c r="Y100" i="3" s="1"/>
  <c r="W81" i="3"/>
  <c r="D99" i="3"/>
  <c r="K83" i="3"/>
  <c r="K82" i="3"/>
  <c r="D81" i="3"/>
  <c r="D86" i="3"/>
  <c r="D77" i="3"/>
  <c r="F77" i="3" s="1"/>
  <c r="K86" i="3"/>
  <c r="AC100" i="3"/>
  <c r="AE100" i="3" s="1"/>
  <c r="AC81" i="3"/>
  <c r="AC101" i="3"/>
  <c r="AE101" i="3" s="1"/>
  <c r="AC71" i="3"/>
  <c r="AE71" i="3" s="1"/>
  <c r="W78" i="3"/>
  <c r="Y78" i="3" s="1"/>
  <c r="W94" i="3"/>
  <c r="W95" i="3"/>
  <c r="Y95" i="3" s="1"/>
  <c r="Q80" i="3"/>
  <c r="D100" i="3"/>
  <c r="F100" i="3" s="1"/>
  <c r="D95" i="3"/>
  <c r="F95" i="3" s="1"/>
  <c r="D82" i="3"/>
  <c r="K94" i="3"/>
  <c r="Q102" i="3"/>
  <c r="S102" i="3" s="1"/>
  <c r="Q100" i="3"/>
  <c r="S100" i="3" s="1"/>
  <c r="D85" i="3"/>
  <c r="K93" i="3"/>
  <c r="K101" i="3"/>
  <c r="M101" i="3" s="1"/>
  <c r="D71" i="3"/>
  <c r="F71" i="3" s="1"/>
  <c r="Q83" i="3"/>
  <c r="Q95" i="3"/>
  <c r="S95" i="3" s="1"/>
  <c r="K81" i="3"/>
  <c r="K80" i="3"/>
  <c r="AC87" i="3"/>
  <c r="Q68" i="3"/>
  <c r="S68" i="3" s="1"/>
  <c r="K95" i="3"/>
  <c r="M95" i="3" s="1"/>
  <c r="K68" i="3"/>
  <c r="M68" i="3" s="1"/>
  <c r="W88" i="3"/>
  <c r="D89" i="3"/>
  <c r="K99" i="3"/>
  <c r="Q77" i="3"/>
  <c r="S77" i="3" s="1"/>
  <c r="D70" i="3"/>
  <c r="F70" i="3" s="1"/>
  <c r="K89" i="3"/>
  <c r="D72" i="3"/>
  <c r="D68" i="3"/>
  <c r="F68" i="3" s="1"/>
  <c r="D80" i="3"/>
  <c r="K72" i="3"/>
  <c r="D101" i="3"/>
  <c r="F101" i="3" s="1"/>
  <c r="AC80" i="3"/>
  <c r="Q71" i="3"/>
  <c r="S71" i="3" s="1"/>
  <c r="Q72" i="3"/>
  <c r="K70" i="3"/>
  <c r="M70" i="3" s="1"/>
  <c r="D88" i="3"/>
  <c r="D103" i="3"/>
  <c r="AC72" i="3"/>
  <c r="K100" i="3"/>
  <c r="M100" i="3" s="1"/>
  <c r="K71" i="3"/>
  <c r="M71" i="3" s="1"/>
  <c r="K88" i="3"/>
  <c r="K77" i="3"/>
  <c r="M77" i="3" s="1"/>
  <c r="K103" i="3"/>
  <c r="D87" i="3"/>
  <c r="D83" i="3"/>
  <c r="K79" i="3"/>
  <c r="D93" i="3"/>
  <c r="W79" i="3"/>
  <c r="AC67" i="3"/>
  <c r="K67" i="3"/>
  <c r="U67" i="3"/>
  <c r="Q67" i="3"/>
  <c r="W67" i="3"/>
  <c r="I67" i="3"/>
  <c r="B67" i="3"/>
  <c r="O67" i="3"/>
  <c r="AA67" i="3"/>
  <c r="D67" i="3"/>
  <c r="AC76" i="3"/>
  <c r="W76" i="3"/>
  <c r="Q76" i="3"/>
  <c r="K76" i="3"/>
  <c r="D76" i="3"/>
  <c r="AC110" i="3"/>
  <c r="AC116" i="3"/>
  <c r="AC112" i="3"/>
  <c r="AC113" i="3"/>
  <c r="AC117" i="3"/>
  <c r="AE117" i="3" s="1"/>
  <c r="AC115" i="3"/>
  <c r="AC111" i="3"/>
  <c r="AE111" i="3" s="1"/>
  <c r="AC109" i="3"/>
  <c r="AC108" i="3"/>
  <c r="W110" i="3"/>
  <c r="W116" i="3"/>
  <c r="W112" i="3"/>
  <c r="W113" i="3"/>
  <c r="W115" i="3"/>
  <c r="W117" i="3"/>
  <c r="Y117" i="3" s="1"/>
  <c r="W114" i="3"/>
  <c r="W111" i="3"/>
  <c r="Y111" i="3" s="1"/>
  <c r="W109" i="3"/>
  <c r="W108" i="3"/>
  <c r="Q112" i="3"/>
  <c r="Q113" i="3"/>
  <c r="Q114" i="3"/>
  <c r="S114" i="3" s="1"/>
  <c r="Q115" i="3"/>
  <c r="K114" i="3"/>
  <c r="Q110" i="3"/>
  <c r="D114" i="3"/>
  <c r="Q109" i="3"/>
  <c r="D108" i="3"/>
  <c r="F108" i="3" s="1"/>
  <c r="Q116" i="3"/>
  <c r="Q117" i="3"/>
  <c r="S117" i="3" s="1"/>
  <c r="Q111" i="3"/>
  <c r="S111" i="3" s="1"/>
  <c r="K108" i="3"/>
  <c r="M108" i="3" s="1"/>
  <c r="D111" i="3"/>
  <c r="F111" i="3" s="1"/>
  <c r="D116" i="3"/>
  <c r="K116" i="3"/>
  <c r="D112" i="3"/>
  <c r="K112" i="3"/>
  <c r="K109" i="3"/>
  <c r="K115" i="3"/>
  <c r="K111" i="3"/>
  <c r="M111" i="3" s="1"/>
  <c r="K117" i="3"/>
  <c r="M117" i="3" s="1"/>
  <c r="D115" i="3"/>
  <c r="D109" i="3"/>
  <c r="D110" i="3"/>
  <c r="K110" i="3"/>
  <c r="D117" i="3"/>
  <c r="F117" i="3" s="1"/>
  <c r="AY93" i="3" l="1"/>
  <c r="AU96" i="3"/>
  <c r="AY54" i="3"/>
  <c r="M88" i="3"/>
  <c r="AY109" i="3"/>
  <c r="AO86" i="3"/>
  <c r="AT67" i="3"/>
  <c r="AO80" i="3"/>
  <c r="AY111" i="3"/>
  <c r="AY69" i="3"/>
  <c r="AY115" i="3"/>
  <c r="AY110" i="3"/>
  <c r="AY88" i="3"/>
  <c r="AY83" i="3"/>
  <c r="AJ115" i="3"/>
  <c r="AT69" i="3"/>
  <c r="AJ110" i="3"/>
  <c r="AT88" i="3"/>
  <c r="AY116" i="3"/>
  <c r="S103" i="3"/>
  <c r="O105" i="3"/>
  <c r="AY113" i="3"/>
  <c r="AY82" i="3"/>
  <c r="AY94" i="3"/>
  <c r="AP41" i="3"/>
  <c r="AU118" i="3"/>
  <c r="AY39" i="3"/>
  <c r="AY112" i="3"/>
  <c r="AY84" i="3"/>
  <c r="AY79" i="3"/>
  <c r="AY114" i="3"/>
  <c r="AT72" i="3"/>
  <c r="AT79" i="3"/>
  <c r="AY25" i="3"/>
  <c r="AY28" i="3"/>
  <c r="AU41" i="3"/>
  <c r="AY81" i="3"/>
  <c r="AY80" i="3"/>
  <c r="AY99" i="3"/>
  <c r="AY105" i="3" s="1"/>
  <c r="AU105" i="3"/>
  <c r="AY12" i="3"/>
  <c r="AY20" i="3" s="1"/>
  <c r="AU20" i="3"/>
  <c r="AU90" i="3"/>
  <c r="AU73" i="3"/>
  <c r="AJ88" i="3"/>
  <c r="S88" i="3"/>
  <c r="AA35" i="3"/>
  <c r="AO82" i="3"/>
  <c r="AO113" i="3"/>
  <c r="Y88" i="3"/>
  <c r="I35" i="3"/>
  <c r="M35" i="3" s="1"/>
  <c r="AO89" i="3"/>
  <c r="AW96" i="3"/>
  <c r="AY95" i="3"/>
  <c r="AO85" i="3"/>
  <c r="O35" i="3"/>
  <c r="S35" i="3" s="1"/>
  <c r="AW58" i="3"/>
  <c r="AY51" i="3"/>
  <c r="AW105" i="3"/>
  <c r="AW41" i="3"/>
  <c r="AY38" i="3"/>
  <c r="AW90" i="3"/>
  <c r="AY76" i="3"/>
  <c r="AO69" i="3"/>
  <c r="AW35" i="3"/>
  <c r="AW73" i="3"/>
  <c r="AY67" i="3"/>
  <c r="AU35" i="3"/>
  <c r="AY29" i="3"/>
  <c r="AW48" i="3"/>
  <c r="AY44" i="3"/>
  <c r="AY48" i="3" s="1"/>
  <c r="AY108" i="3"/>
  <c r="AW118" i="3"/>
  <c r="AJ99" i="3"/>
  <c r="AO79" i="3"/>
  <c r="AO67" i="3"/>
  <c r="AH41" i="3"/>
  <c r="AJ39" i="3"/>
  <c r="AO88" i="3"/>
  <c r="F88" i="3"/>
  <c r="AE88" i="3"/>
  <c r="AF41" i="3"/>
  <c r="Y25" i="3"/>
  <c r="Y35" i="3" s="1"/>
  <c r="U35" i="3"/>
  <c r="F25" i="3"/>
  <c r="B35" i="3"/>
  <c r="F35" i="3" s="1"/>
  <c r="AT83" i="3"/>
  <c r="S25" i="3"/>
  <c r="AT113" i="3"/>
  <c r="M25" i="3"/>
  <c r="AE25" i="3"/>
  <c r="AE35" i="3" s="1"/>
  <c r="AT86" i="3"/>
  <c r="AT87" i="3"/>
  <c r="AT89" i="3"/>
  <c r="AT85" i="3"/>
  <c r="AO76" i="3"/>
  <c r="Y103" i="3"/>
  <c r="AK41" i="3"/>
  <c r="M103" i="3"/>
  <c r="AE86" i="3"/>
  <c r="AJ114" i="3"/>
  <c r="S110" i="3"/>
  <c r="AE110" i="3"/>
  <c r="AJ89" i="3"/>
  <c r="AJ54" i="3"/>
  <c r="AO87" i="3"/>
  <c r="AT84" i="3"/>
  <c r="AM90" i="3"/>
  <c r="AR90" i="3"/>
  <c r="AM73" i="3"/>
  <c r="AR73" i="3"/>
  <c r="M110" i="3"/>
  <c r="F103" i="3"/>
  <c r="AT103" i="3" s="1"/>
  <c r="Y89" i="3"/>
  <c r="B105" i="3"/>
  <c r="AP105" i="3"/>
  <c r="S115" i="3"/>
  <c r="AP96" i="3"/>
  <c r="F89" i="3"/>
  <c r="I105" i="3"/>
  <c r="F110" i="3"/>
  <c r="AT110" i="3" s="1"/>
  <c r="AP73" i="3"/>
  <c r="AA105" i="3"/>
  <c r="AP20" i="3"/>
  <c r="AP118" i="3"/>
  <c r="AT76" i="3"/>
  <c r="AP90" i="3"/>
  <c r="AT35" i="3"/>
  <c r="AT15" i="3"/>
  <c r="U105" i="3"/>
  <c r="AT14" i="3"/>
  <c r="AT13" i="3"/>
  <c r="AO53" i="3"/>
  <c r="AT53" i="3"/>
  <c r="AO45" i="3"/>
  <c r="AT45" i="3"/>
  <c r="AR58" i="3"/>
  <c r="AT51" i="3"/>
  <c r="AO56" i="3"/>
  <c r="AT56" i="3"/>
  <c r="AO19" i="3"/>
  <c r="AT19" i="3"/>
  <c r="AO95" i="3"/>
  <c r="AT95" i="3"/>
  <c r="AO52" i="3"/>
  <c r="AT52" i="3"/>
  <c r="AO57" i="3"/>
  <c r="AT57" i="3"/>
  <c r="AO117" i="3"/>
  <c r="AT117" i="3"/>
  <c r="AR118" i="3"/>
  <c r="AT108" i="3"/>
  <c r="AO40" i="3"/>
  <c r="AT40" i="3"/>
  <c r="AO55" i="3"/>
  <c r="AT55" i="3"/>
  <c r="AO47" i="3"/>
  <c r="AT47" i="3"/>
  <c r="AR48" i="3"/>
  <c r="AT44" i="3"/>
  <c r="AO111" i="3"/>
  <c r="AT111" i="3"/>
  <c r="AO46" i="3"/>
  <c r="AT46" i="3"/>
  <c r="AO35" i="3"/>
  <c r="S54" i="3"/>
  <c r="F54" i="3"/>
  <c r="AT54" i="3" s="1"/>
  <c r="AE103" i="3"/>
  <c r="Y115" i="3"/>
  <c r="AE115" i="3"/>
  <c r="S89" i="3"/>
  <c r="AJ69" i="3"/>
  <c r="AK96" i="3"/>
  <c r="AK105" i="3"/>
  <c r="AO103" i="3"/>
  <c r="AO14" i="3"/>
  <c r="AJ38" i="3"/>
  <c r="AO110" i="3"/>
  <c r="F114" i="3"/>
  <c r="AT114" i="3" s="1"/>
  <c r="AO13" i="3"/>
  <c r="AK118" i="3"/>
  <c r="AK20" i="3"/>
  <c r="AO54" i="3"/>
  <c r="AK73" i="3"/>
  <c r="AK90" i="3"/>
  <c r="AO15" i="3"/>
  <c r="AE99" i="3"/>
  <c r="AJ103" i="3"/>
  <c r="M114" i="3"/>
  <c r="Y114" i="3"/>
  <c r="AO114" i="3"/>
  <c r="AM58" i="3"/>
  <c r="AO51" i="3"/>
  <c r="AM48" i="3"/>
  <c r="AO44" i="3"/>
  <c r="AM118" i="3"/>
  <c r="AO108" i="3"/>
  <c r="M72" i="3"/>
  <c r="AJ112" i="3"/>
  <c r="AH58" i="3"/>
  <c r="Y81" i="3"/>
  <c r="AF105" i="3"/>
  <c r="AJ113" i="3"/>
  <c r="AE80" i="3"/>
  <c r="AJ57" i="3"/>
  <c r="AH48" i="3"/>
  <c r="F39" i="3"/>
  <c r="M54" i="3"/>
  <c r="AJ47" i="3"/>
  <c r="AJ48" i="3" s="1"/>
  <c r="K41" i="3"/>
  <c r="K61" i="3" s="1"/>
  <c r="AC41" i="3"/>
  <c r="S39" i="3"/>
  <c r="W58" i="3"/>
  <c r="D41" i="3"/>
  <c r="D61" i="3" s="1"/>
  <c r="AJ94" i="3"/>
  <c r="Y39" i="3"/>
  <c r="AJ116" i="3"/>
  <c r="AJ82" i="3"/>
  <c r="AJ80" i="3"/>
  <c r="M39" i="3"/>
  <c r="AE39" i="3"/>
  <c r="AE81" i="3"/>
  <c r="AJ72" i="3"/>
  <c r="S112" i="3"/>
  <c r="F80" i="3"/>
  <c r="S86" i="3"/>
  <c r="AE94" i="3"/>
  <c r="AA96" i="3"/>
  <c r="F116" i="3"/>
  <c r="M83" i="3"/>
  <c r="AJ109" i="3"/>
  <c r="AF118" i="3"/>
  <c r="F94" i="3"/>
  <c r="B96" i="3"/>
  <c r="Y72" i="3"/>
  <c r="Y116" i="3"/>
  <c r="S83" i="3"/>
  <c r="S80" i="3"/>
  <c r="AE116" i="3"/>
  <c r="AJ81" i="3"/>
  <c r="AJ83" i="3"/>
  <c r="AJ79" i="3"/>
  <c r="M116" i="3"/>
  <c r="AJ85" i="3"/>
  <c r="Y112" i="3"/>
  <c r="AE112" i="3"/>
  <c r="M86" i="3"/>
  <c r="AE83" i="3"/>
  <c r="S94" i="3"/>
  <c r="F112" i="3"/>
  <c r="F83" i="3"/>
  <c r="AF96" i="3"/>
  <c r="AJ93" i="3"/>
  <c r="O96" i="3"/>
  <c r="F82" i="3"/>
  <c r="AE82" i="3"/>
  <c r="S79" i="3"/>
  <c r="F72" i="3"/>
  <c r="M79" i="3"/>
  <c r="Y82" i="3"/>
  <c r="S82" i="3"/>
  <c r="AJ86" i="3"/>
  <c r="AE44" i="3"/>
  <c r="AE48" i="3" s="1"/>
  <c r="AC48" i="3"/>
  <c r="AC58" i="3"/>
  <c r="AE51" i="3"/>
  <c r="Y44" i="3"/>
  <c r="Y48" i="3" s="1"/>
  <c r="W48" i="3"/>
  <c r="AJ35" i="3"/>
  <c r="Y113" i="3"/>
  <c r="M82" i="3"/>
  <c r="AE79" i="3"/>
  <c r="M80" i="3"/>
  <c r="F12" i="3"/>
  <c r="AR20" i="3" s="1"/>
  <c r="AH90" i="3"/>
  <c r="AJ87" i="3"/>
  <c r="Y12" i="3"/>
  <c r="Y20" i="3" s="1"/>
  <c r="AH96" i="3"/>
  <c r="M12" i="3"/>
  <c r="F85" i="3"/>
  <c r="AA118" i="3"/>
  <c r="AE72" i="3"/>
  <c r="AE109" i="3"/>
  <c r="AE85" i="3"/>
  <c r="AE87" i="3"/>
  <c r="M89" i="3"/>
  <c r="Y86" i="3"/>
  <c r="B20" i="3"/>
  <c r="F20" i="3" s="1"/>
  <c r="AA90" i="3"/>
  <c r="M112" i="3"/>
  <c r="M81" i="3"/>
  <c r="I118" i="3"/>
  <c r="B118" i="3"/>
  <c r="M94" i="3"/>
  <c r="AE113" i="3"/>
  <c r="Y87" i="3"/>
  <c r="M115" i="3"/>
  <c r="O118" i="3"/>
  <c r="F79" i="3"/>
  <c r="O90" i="3"/>
  <c r="F86" i="3"/>
  <c r="S87" i="3"/>
  <c r="AE89" i="3"/>
  <c r="S85" i="3"/>
  <c r="S116" i="3"/>
  <c r="S113" i="3"/>
  <c r="F115" i="3"/>
  <c r="Y110" i="3"/>
  <c r="S81" i="3"/>
  <c r="B90" i="3"/>
  <c r="U118" i="3"/>
  <c r="Y80" i="3"/>
  <c r="Y79" i="3"/>
  <c r="Y94" i="3"/>
  <c r="Y83" i="3"/>
  <c r="U96" i="3"/>
  <c r="Y109" i="3"/>
  <c r="Y85" i="3"/>
  <c r="O20" i="3"/>
  <c r="I20" i="3"/>
  <c r="M20" i="3" s="1"/>
  <c r="I90" i="3"/>
  <c r="U90" i="3"/>
  <c r="F87" i="3"/>
  <c r="U20" i="3"/>
  <c r="S72" i="3"/>
  <c r="M85" i="3"/>
  <c r="I96" i="3"/>
  <c r="F38" i="3"/>
  <c r="B41" i="3"/>
  <c r="S38" i="3"/>
  <c r="O41" i="3"/>
  <c r="S41" i="3" s="1"/>
  <c r="M38" i="3"/>
  <c r="I41" i="3"/>
  <c r="Y38" i="3"/>
  <c r="U41" i="3"/>
  <c r="AA41" i="3"/>
  <c r="AE38" i="3"/>
  <c r="U58" i="3"/>
  <c r="Y54" i="3"/>
  <c r="Y58" i="3" s="1"/>
  <c r="AE54" i="3"/>
  <c r="AA58" i="3"/>
  <c r="AE12" i="3"/>
  <c r="AE20" i="3" s="1"/>
  <c r="AA20" i="3"/>
  <c r="Q20" i="3"/>
  <c r="S12" i="3"/>
  <c r="AF20" i="3"/>
  <c r="AJ12" i="3"/>
  <c r="AJ20" i="3" s="1"/>
  <c r="AH118" i="3"/>
  <c r="AH105" i="3"/>
  <c r="AJ67" i="3"/>
  <c r="AF73" i="3"/>
  <c r="AH73" i="3"/>
  <c r="AF90" i="3"/>
  <c r="AJ76" i="3"/>
  <c r="AC105" i="3"/>
  <c r="AC73" i="3"/>
  <c r="D73" i="3"/>
  <c r="W73" i="3"/>
  <c r="Q73" i="3"/>
  <c r="D96" i="3"/>
  <c r="F93" i="3"/>
  <c r="K105" i="3"/>
  <c r="M99" i="3"/>
  <c r="Y67" i="3"/>
  <c r="U73" i="3"/>
  <c r="AC96" i="3"/>
  <c r="AE93" i="3"/>
  <c r="W96" i="3"/>
  <c r="Y93" i="3"/>
  <c r="K73" i="3"/>
  <c r="D105" i="3"/>
  <c r="F99" i="3"/>
  <c r="Q105" i="3"/>
  <c r="S105" i="3" s="1"/>
  <c r="S99" i="3"/>
  <c r="AE67" i="3"/>
  <c r="AA73" i="3"/>
  <c r="S67" i="3"/>
  <c r="O73" i="3"/>
  <c r="K96" i="3"/>
  <c r="M93" i="3"/>
  <c r="F67" i="3"/>
  <c r="B73" i="3"/>
  <c r="Q96" i="3"/>
  <c r="S93" i="3"/>
  <c r="W105" i="3"/>
  <c r="Y99" i="3"/>
  <c r="M67" i="3"/>
  <c r="I73" i="3"/>
  <c r="D90" i="3"/>
  <c r="F76" i="3"/>
  <c r="M76" i="3"/>
  <c r="K90" i="3"/>
  <c r="Q90" i="3"/>
  <c r="S76" i="3"/>
  <c r="W90" i="3"/>
  <c r="Y76" i="3"/>
  <c r="AC90" i="3"/>
  <c r="AE76" i="3"/>
  <c r="F109" i="3"/>
  <c r="D118" i="3"/>
  <c r="K118" i="3"/>
  <c r="M109" i="3"/>
  <c r="S109" i="3"/>
  <c r="Q118" i="3"/>
  <c r="W118" i="3"/>
  <c r="Y108" i="3"/>
  <c r="AC118" i="3"/>
  <c r="AE108" i="3"/>
  <c r="AY58" i="3" l="1"/>
  <c r="AT73" i="3"/>
  <c r="AY73" i="3"/>
  <c r="AY41" i="3"/>
  <c r="AP61" i="3"/>
  <c r="AY96" i="3"/>
  <c r="AU61" i="3"/>
  <c r="AU121" i="3"/>
  <c r="AY118" i="3"/>
  <c r="AY35" i="3"/>
  <c r="AY90" i="3"/>
  <c r="AW121" i="3"/>
  <c r="AJ105" i="3"/>
  <c r="AO73" i="3"/>
  <c r="AW61" i="3"/>
  <c r="AJ41" i="3"/>
  <c r="AF61" i="3"/>
  <c r="AO90" i="3"/>
  <c r="AK61" i="3"/>
  <c r="Y105" i="3"/>
  <c r="AJ58" i="3"/>
  <c r="AT90" i="3"/>
  <c r="F105" i="3"/>
  <c r="M105" i="3"/>
  <c r="AP121" i="3"/>
  <c r="AT58" i="3"/>
  <c r="AT48" i="3"/>
  <c r="AO112" i="3"/>
  <c r="AT112" i="3"/>
  <c r="AO94" i="3"/>
  <c r="AT94" i="3"/>
  <c r="AO109" i="3"/>
  <c r="AT109" i="3"/>
  <c r="AO39" i="3"/>
  <c r="AT39" i="3"/>
  <c r="AR41" i="3"/>
  <c r="AR61" i="3" s="1"/>
  <c r="AT38" i="3"/>
  <c r="AO116" i="3"/>
  <c r="AT116" i="3"/>
  <c r="AT12" i="3"/>
  <c r="AT20" i="3" s="1"/>
  <c r="AR96" i="3"/>
  <c r="AT93" i="3"/>
  <c r="AR105" i="3"/>
  <c r="AT99" i="3"/>
  <c r="AT105" i="3" s="1"/>
  <c r="AO115" i="3"/>
  <c r="AT115" i="3"/>
  <c r="AO48" i="3"/>
  <c r="AE105" i="3"/>
  <c r="AO58" i="3"/>
  <c r="AK121" i="3"/>
  <c r="AM105" i="3"/>
  <c r="AO99" i="3"/>
  <c r="AO105" i="3" s="1"/>
  <c r="AM96" i="3"/>
  <c r="AO93" i="3"/>
  <c r="AM20" i="3"/>
  <c r="AO12" i="3"/>
  <c r="AO20" i="3" s="1"/>
  <c r="AM41" i="3"/>
  <c r="AO38" i="3"/>
  <c r="AH61" i="3"/>
  <c r="AJ118" i="3"/>
  <c r="M41" i="3"/>
  <c r="Y41" i="3"/>
  <c r="AE41" i="3"/>
  <c r="AC61" i="3"/>
  <c r="AJ96" i="3"/>
  <c r="AJ73" i="3"/>
  <c r="AE96" i="3"/>
  <c r="S96" i="3"/>
  <c r="Y73" i="3"/>
  <c r="F96" i="3"/>
  <c r="AE58" i="3"/>
  <c r="AJ90" i="3"/>
  <c r="AE90" i="3"/>
  <c r="Y90" i="3"/>
  <c r="AE73" i="3"/>
  <c r="AH121" i="3"/>
  <c r="AA121" i="3"/>
  <c r="S90" i="3"/>
  <c r="AE118" i="3"/>
  <c r="O61" i="3"/>
  <c r="Y118" i="3"/>
  <c r="Y96" i="3"/>
  <c r="M90" i="3"/>
  <c r="F90" i="3"/>
  <c r="U121" i="3"/>
  <c r="AF121" i="3"/>
  <c r="I61" i="3"/>
  <c r="M61" i="3" s="1"/>
  <c r="M96" i="3"/>
  <c r="AA61" i="3"/>
  <c r="Q61" i="3"/>
  <c r="S20" i="3"/>
  <c r="U61" i="3"/>
  <c r="F41" i="3"/>
  <c r="B61" i="3"/>
  <c r="F61" i="3" s="1"/>
  <c r="W121" i="3"/>
  <c r="M73" i="3"/>
  <c r="I121" i="3"/>
  <c r="S73" i="3"/>
  <c r="O121" i="3"/>
  <c r="AC121" i="3"/>
  <c r="B121" i="3"/>
  <c r="F73" i="3"/>
  <c r="S118" i="3"/>
  <c r="Q121" i="3"/>
  <c r="M118" i="3"/>
  <c r="K121" i="3"/>
  <c r="F118" i="3"/>
  <c r="D121" i="3"/>
  <c r="AP125" i="3" l="1"/>
  <c r="AU125" i="3"/>
  <c r="AY121" i="3"/>
  <c r="AW125" i="3"/>
  <c r="AY61" i="3"/>
  <c r="AJ61" i="3"/>
  <c r="AO96" i="3"/>
  <c r="AK125" i="3"/>
  <c r="AT118" i="3"/>
  <c r="AO118" i="3"/>
  <c r="AT96" i="3"/>
  <c r="AT41" i="3"/>
  <c r="AR121" i="3"/>
  <c r="AT121" i="3" s="1"/>
  <c r="AT61" i="3"/>
  <c r="AO41" i="3"/>
  <c r="AE61" i="3"/>
  <c r="AM121" i="3"/>
  <c r="AO121" i="3" s="1"/>
  <c r="AH125" i="3"/>
  <c r="AM61" i="3"/>
  <c r="AC125" i="3"/>
  <c r="AJ121" i="3"/>
  <c r="U125" i="3"/>
  <c r="B125" i="3"/>
  <c r="AF125" i="3"/>
  <c r="O125" i="3"/>
  <c r="S61" i="3"/>
  <c r="I125" i="3"/>
  <c r="Y121" i="3"/>
  <c r="AA125" i="3"/>
  <c r="AE121" i="3"/>
  <c r="F121" i="3"/>
  <c r="D125" i="3"/>
  <c r="K125" i="3"/>
  <c r="M121" i="3"/>
  <c r="Q125" i="3"/>
  <c r="S121" i="3"/>
  <c r="AY125" i="3" l="1"/>
  <c r="AE125" i="3"/>
  <c r="AR125" i="3"/>
  <c r="AT125" i="3" s="1"/>
  <c r="AJ125" i="3"/>
  <c r="AM125" i="3"/>
  <c r="AO125" i="3" s="1"/>
  <c r="AO61" i="3"/>
  <c r="F125" i="3"/>
  <c r="M125" i="3"/>
  <c r="S125" i="3"/>
  <c r="Y125" i="3"/>
  <c r="W125" i="3"/>
  <c r="Y61" i="3"/>
  <c r="W20" i="3"/>
  <c r="W61" i="3"/>
</calcChain>
</file>

<file path=xl/comments1.xml><?xml version="1.0" encoding="utf-8"?>
<comments xmlns="http://schemas.openxmlformats.org/spreadsheetml/2006/main">
  <authors>
    <author>Roxanne</author>
  </authors>
  <commentList>
    <comment ref="B68" authorId="0">
      <text>
        <r>
          <rPr>
            <b/>
            <sz val="9"/>
            <color indexed="81"/>
            <rFont val="Tahoma"/>
            <charset val="1"/>
          </rPr>
          <t>Roxanne:</t>
        </r>
        <r>
          <rPr>
            <sz val="9"/>
            <color indexed="81"/>
            <rFont val="Tahoma"/>
            <charset val="1"/>
          </rPr>
          <t xml:space="preserve">
Remplace Groupe travail santé psy septembre 2025
</t>
        </r>
      </text>
    </comment>
    <comment ref="B71" authorId="0">
      <text>
        <r>
          <rPr>
            <b/>
            <sz val="9"/>
            <color indexed="81"/>
            <rFont val="Tahoma"/>
            <charset val="1"/>
          </rPr>
          <t>Roxanne:</t>
        </r>
        <r>
          <rPr>
            <sz val="9"/>
            <color indexed="81"/>
            <rFont val="Tahoma"/>
            <charset val="1"/>
          </rPr>
          <t xml:space="preserve">
Remplace Pensées Canadiennes en 2024</t>
        </r>
      </text>
    </comment>
  </commentList>
</comments>
</file>

<file path=xl/comments2.xml><?xml version="1.0" encoding="utf-8"?>
<comments xmlns="http://schemas.openxmlformats.org/spreadsheetml/2006/main">
  <authors>
    <author>Rosy Gendron</author>
  </authors>
  <commentList>
    <comment ref="J76" authorId="0">
      <text>
        <r>
          <rPr>
            <sz val="12"/>
            <color theme="1"/>
            <rFont val="Calibri"/>
            <family val="2"/>
            <scheme val="minor"/>
          </rPr>
          <t xml:space="preserve">Rosy Gendron:
Automne 2021: 1500
Mise à jour:  -1000
Hiver 2022: 500
</t>
        </r>
      </text>
    </comment>
    <comment ref="J77" authorId="0">
      <text>
        <r>
          <rPr>
            <sz val="12"/>
            <color theme="1"/>
            <rFont val="Calibri"/>
            <family val="2"/>
            <scheme val="minor"/>
          </rPr>
          <t>Rosy Gendron:
Automne 2021: 300$
Maj: -150$ 
Grève mars 2022: 150$</t>
        </r>
      </text>
    </comment>
    <comment ref="J79" authorId="0">
      <text>
        <r>
          <rPr>
            <sz val="12"/>
            <color theme="1"/>
            <rFont val="Calibri"/>
            <family val="2"/>
            <scheme val="minor"/>
          </rPr>
          <t>Rosy Gendron:
Automne 2021: 300$
Mise à jour: +250
Hiver 2022:  550$</t>
        </r>
      </text>
    </comment>
    <comment ref="J80" authorId="0">
      <text>
        <r>
          <rPr>
            <sz val="12"/>
            <color theme="1"/>
            <rFont val="Calibri"/>
            <family val="2"/>
            <scheme val="minor"/>
          </rPr>
          <t>Rosy Gendron:
Automne 2021: 500
Mise à jour: + 500
Hiver 2022: 1000</t>
        </r>
      </text>
    </comment>
    <comment ref="J84" authorId="0">
      <text>
        <r>
          <rPr>
            <sz val="12"/>
            <color theme="1"/>
            <rFont val="Calibri"/>
            <family val="2"/>
            <scheme val="minor"/>
          </rPr>
          <t>Rosy Gendron:
Automne 2021: 300$
Maj: -300$ 
Grève mars 2022: 0$</t>
        </r>
      </text>
    </comment>
    <comment ref="J86" authorId="0">
      <text>
        <r>
          <rPr>
            <sz val="12"/>
            <color theme="1"/>
            <rFont val="Calibri"/>
            <family val="2"/>
            <scheme val="minor"/>
          </rPr>
          <t>Rosy Gendron:
Automne 2021: 500$
Mise à jour: -500
Hiver 2022: 0$</t>
        </r>
      </text>
    </comment>
    <comment ref="J94" authorId="0">
      <text>
        <r>
          <rPr>
            <sz val="12"/>
            <color theme="1"/>
            <rFont val="Calibri"/>
            <family val="2"/>
            <scheme val="minor"/>
          </rPr>
          <t>Rosy Gendron:
Automne 2021: 1000
Mise à jour: + 250
Hiver 2022: 1250</t>
        </r>
      </text>
    </comment>
    <comment ref="J105" authorId="0">
      <text>
        <r>
          <rPr>
            <sz val="12"/>
            <color theme="1"/>
            <rFont val="Calibri"/>
            <family val="2"/>
            <scheme val="minor"/>
          </rPr>
          <t>Rosy Gendron:
Ajouté suite à la grève étudiante de mars/ avril 2022 en cas de demande de fonds urgent</t>
        </r>
      </text>
    </comment>
    <comment ref="J114" authorId="0">
      <text>
        <r>
          <rPr>
            <sz val="12"/>
            <color theme="1"/>
            <rFont val="Calibri"/>
            <family val="2"/>
            <scheme val="minor"/>
          </rPr>
          <t>Rosy Gendron:
Automne 2021: 400$
Maj: -400$ 
Grève mars 2022: 0$</t>
        </r>
      </text>
    </comment>
  </commentList>
</comments>
</file>

<file path=xl/comments3.xml><?xml version="1.0" encoding="utf-8"?>
<comments xmlns="http://schemas.openxmlformats.org/spreadsheetml/2006/main">
  <authors>
    <author>Rosy Gendron</author>
  </authors>
  <commentList>
    <comment ref="A7" authorId="0">
      <text>
        <r>
          <rPr>
            <sz val="12"/>
            <color theme="1"/>
            <rFont val="Calibri"/>
            <family val="2"/>
            <scheme val="minor"/>
          </rPr>
          <t>Rosy Gendron:
Les colonnes des années précédentes sont simplement masquées</t>
        </r>
      </text>
    </comment>
    <comment ref="J77" authorId="0">
      <text>
        <r>
          <rPr>
            <sz val="12"/>
            <color theme="1"/>
            <rFont val="Calibri"/>
            <family val="2"/>
            <scheme val="minor"/>
          </rPr>
          <t xml:space="preserve">Rosy Gendron:
</t>
        </r>
      </text>
    </comment>
  </commentList>
</comments>
</file>

<file path=xl/sharedStrings.xml><?xml version="1.0" encoding="utf-8"?>
<sst xmlns="http://schemas.openxmlformats.org/spreadsheetml/2006/main" count="2673" uniqueCount="503">
  <si>
    <t>Nom de l'asso :</t>
  </si>
  <si>
    <t>ASSOCIATION DES ÉTUDIANTS ET ÉTUDIANTES EN PHILOSOPHIE</t>
  </si>
  <si>
    <t>Année financière :</t>
  </si>
  <si>
    <t>12 septembre 2019 @ 12 septembre 2020</t>
  </si>
  <si>
    <t>Adresse :</t>
  </si>
  <si>
    <t xml:space="preserve">Téléphone : </t>
  </si>
  <si>
    <t>Trésorier actuel :</t>
  </si>
  <si>
    <t>Roxanne Lépine</t>
  </si>
  <si>
    <r>
      <t>Instruction pour remplir ce fichier</t>
    </r>
    <r>
      <rPr>
        <b/>
        <sz val="12"/>
        <color theme="1"/>
        <rFont val="Arial"/>
        <family val="2"/>
      </rPr>
      <t xml:space="preserve"> :</t>
    </r>
  </si>
  <si>
    <t>Onglet PLAN COMPTABLE</t>
  </si>
  <si>
    <t>・</t>
  </si>
  <si>
    <t>Nommez les activités socio-culturelles de votre asso :</t>
  </si>
  <si>
    <t>5@7</t>
  </si>
  <si>
    <t>Vin et fromages</t>
  </si>
  <si>
    <t>Sports</t>
  </si>
  <si>
    <t>Activités d'accueil</t>
  </si>
  <si>
    <t>Partys</t>
  </si>
  <si>
    <t>Colloque</t>
  </si>
  <si>
    <t>Comités</t>
  </si>
  <si>
    <t>Projets étudiants</t>
  </si>
  <si>
    <t>Mobilisation</t>
  </si>
  <si>
    <t>Bourses colloques</t>
  </si>
  <si>
    <t>ASSÉ</t>
  </si>
  <si>
    <t>Service #3</t>
  </si>
  <si>
    <t>Onglet JOURNAL</t>
  </si>
  <si>
    <t>Pour ajouter une nouvelle transaction, inscrivez un numéro de transaction unique dans la colonne prévue à cet effet ;</t>
  </si>
  <si>
    <t>Inscrivez la date de la transaction. Pour un paiement de facture, inscrivez la date de la facturation. Pour un revenu, inscrivez la date où ce revenus à été perçu ;</t>
  </si>
  <si>
    <t>Sélectionnez le compte approprié. Les comptes 4000 correspondent aux comptes de revenus et 5000 aux dépenses ;</t>
  </si>
  <si>
    <t>Sélectionner le type de transaction. S'il s'agit d'un chèque, inscrivez le numéro du chèque dans la colonne suivante ;</t>
  </si>
  <si>
    <t>Sélectionnez le statut la transaction. Un chèque émit sera considéré comme "En cours" jusqu'à que celui-ci soit encaissé. L'argent comptant sera également considéré comme "À déposer" jusqu'à son dépôt à la Caisse ;</t>
  </si>
  <si>
    <t>Inscrivez une description de la transaction. Cette description vous sera utile pour retrouver les revenus et les dépenses associés à une activité particulière. Utilisez des mots-clic (#) ;</t>
  </si>
  <si>
    <t>Dans le coin supérieur droit, vous retrouverez une case rouge indiquant le montant des transactions en cours. Avant d'émettre un nouveau chèque, assurez-vous que le montant de votre compte bancaire peut couvrir ce montant ;</t>
  </si>
  <si>
    <t>Assurez-vous de mettre à jours régulièrement la colonne "statut des transactions" en consultant vos relevés bancaire.</t>
  </si>
  <si>
    <t>Onglet BUDGET</t>
  </si>
  <si>
    <t>Remplir la colonne qui correspond à l'année en cours ;</t>
  </si>
  <si>
    <t>Assurez-vous de construire un budget réaliste en fonction des projets, des activités et des priorités de votre association étudiante ;</t>
  </si>
  <si>
    <t>Assurez-vous de construire un budget dont le bénéfice net est suppérieur à zéro ;</t>
  </si>
  <si>
    <t>Conservez les montants associés aux années antérieures.</t>
  </si>
  <si>
    <t>Onglet ÉTAT DES RÉSULTATS</t>
  </si>
  <si>
    <t>Vous n'avez absolument rien à faire, il s'agit d'un onglet générant automatiquement un rapport sur l'état de vos finances.</t>
  </si>
  <si>
    <t>Onglet GRAPHIQUES</t>
  </si>
  <si>
    <t>Vous n'avez absolument rien à faire, il s'agit d'un onglet générant automatiquement les graphiques des produits et charges.</t>
  </si>
  <si>
    <t>Version 1 (2016-08-15) Nader El-Masri</t>
  </si>
  <si>
    <t>PLAN COMPTABLE</t>
  </si>
  <si>
    <t>Numéro</t>
  </si>
  <si>
    <t>Nom</t>
  </si>
  <si>
    <t>Numéro + Nom de compte</t>
  </si>
  <si>
    <t>Type</t>
  </si>
  <si>
    <t>Solde reporté au début</t>
  </si>
  <si>
    <t>Produit</t>
  </si>
  <si>
    <t>Cotisations étudiantes (automne)</t>
  </si>
  <si>
    <t>Cotisations étudiantes (hiver)</t>
  </si>
  <si>
    <t>Cotisations étudiantes (été)</t>
  </si>
  <si>
    <t>Cotisations étudiantes (remises antérieures)</t>
  </si>
  <si>
    <t>Commandites</t>
  </si>
  <si>
    <t>Bourses et subventions</t>
  </si>
  <si>
    <t>Autres revenus d'administration</t>
  </si>
  <si>
    <t>Matériel promotionnel</t>
  </si>
  <si>
    <t>Bourses - Colloque 1er Cycle</t>
  </si>
  <si>
    <t>Autres activités socio-culturelles</t>
  </si>
  <si>
    <t>Party de mi-session (automne)</t>
  </si>
  <si>
    <t>Party de fin de session (automne)</t>
  </si>
  <si>
    <t>Party de début de session (hiver)</t>
  </si>
  <si>
    <t>Party de mi-session (hiver)</t>
  </si>
  <si>
    <t>Party de fin de session (hiver)</t>
  </si>
  <si>
    <t>Colloque des Cycles supérieurs</t>
  </si>
  <si>
    <t>Bourses - Colloque Cycles supérieurs</t>
  </si>
  <si>
    <t>Séminaire étudiant</t>
  </si>
  <si>
    <t>Représentation externe</t>
  </si>
  <si>
    <t>Cotisations ASSÉ</t>
  </si>
  <si>
    <t>Comité légal de l'ASSÉ</t>
  </si>
  <si>
    <t>Ithaque</t>
  </si>
  <si>
    <t>Philopolis</t>
  </si>
  <si>
    <t>Pensées Canadiennes</t>
  </si>
  <si>
    <t>Comité femmes de l'ADÉPUM</t>
  </si>
  <si>
    <t>Assemblées générales</t>
  </si>
  <si>
    <t>Café et thé</t>
  </si>
  <si>
    <t>Cadeaux aux secrétaires du Département de philosophie</t>
  </si>
  <si>
    <t>Matériel et fournitures</t>
  </si>
  <si>
    <t>Charge</t>
  </si>
  <si>
    <t>Imprimante</t>
  </si>
  <si>
    <t>Site Internet de l'ADEPUM</t>
  </si>
  <si>
    <t>Registraire des entreprises du Québec</t>
  </si>
  <si>
    <t>Déclarations d'impôts</t>
  </si>
  <si>
    <t>Frais bancaires</t>
  </si>
  <si>
    <t>5200 - 5@7</t>
  </si>
  <si>
    <t>Colloque 1er Cycle</t>
  </si>
  <si>
    <t>Party de la rentrée (automne)</t>
  </si>
  <si>
    <t>CEVES</t>
  </si>
  <si>
    <t>Fonds d'urgence</t>
  </si>
  <si>
    <t>Vie Phi (remplacé 2025)</t>
  </si>
  <si>
    <t>Lampadaire</t>
  </si>
  <si>
    <t>Comité féministe de l'ADÉPUM</t>
  </si>
  <si>
    <t>Symposium de philosophie féministe</t>
  </si>
  <si>
    <t>PhiloSitué-es (Fillosophie)</t>
  </si>
  <si>
    <t>ADÉPUM</t>
  </si>
  <si>
    <t>BUDGETS</t>
  </si>
  <si>
    <t>2017-2018</t>
  </si>
  <si>
    <t>2018-2019</t>
  </si>
  <si>
    <t>2019-2020</t>
  </si>
  <si>
    <t>2020-2021</t>
  </si>
  <si>
    <t>2021-2022</t>
  </si>
  <si>
    <t>2022-2023</t>
  </si>
  <si>
    <t>2023-2024</t>
  </si>
  <si>
    <t>2024-2025</t>
  </si>
  <si>
    <t>2025-2026</t>
  </si>
  <si>
    <t>PRODUIT</t>
  </si>
  <si>
    <t>REVENUS</t>
  </si>
  <si>
    <t>TOTAL REVENUS</t>
  </si>
  <si>
    <t>VIE ÉTUDIANTE</t>
  </si>
  <si>
    <t>TOTAL VIE ÉTUDIANTE</t>
  </si>
  <si>
    <t>CYCLES SUPÉRIEURS</t>
  </si>
  <si>
    <t>TOTAL CYCLES SUPÉRIEURS</t>
  </si>
  <si>
    <t>AFFAIRES SOCIO-POLITIQUES</t>
  </si>
  <si>
    <t>TOTAL AFFAIRES SOCIO-POLITIQUES</t>
  </si>
  <si>
    <t>AUTRES</t>
  </si>
  <si>
    <t>TOTAL AUTRES</t>
  </si>
  <si>
    <t>TOTAL PRODUIT</t>
  </si>
  <si>
    <t>CHARGE</t>
  </si>
  <si>
    <t>FRAIS ADMINISTRATIFS</t>
  </si>
  <si>
    <t>TOTAL FRAIS ADMINISTRATIFS</t>
  </si>
  <si>
    <t>CASE ABOLIE</t>
  </si>
  <si>
    <t xml:space="preserve">CASE ABOLIE </t>
  </si>
  <si>
    <t xml:space="preserve">5425 - RACLÉ </t>
  </si>
  <si>
    <t>5550 - PhiloSitué-es (Fillosophie)</t>
  </si>
  <si>
    <t>TOTAL CHARGE</t>
  </si>
  <si>
    <t>BÉNÉFICE NET</t>
  </si>
  <si>
    <t>JOURNAL DES TRANSACTIONS</t>
  </si>
  <si>
    <t>NO</t>
  </si>
  <si>
    <t>DATE DE LA TRANSACTION (aaaa-mm/jj)</t>
  </si>
  <si>
    <r>
      <t xml:space="preserve">ANNÉE FINANCIÈRE
</t>
    </r>
    <r>
      <rPr>
        <b/>
        <sz val="8"/>
        <color theme="0"/>
        <rFont val="Arial"/>
        <family val="2"/>
      </rPr>
      <t>(cellule automatique)</t>
    </r>
  </si>
  <si>
    <t>COMPTE COMPTABLE</t>
  </si>
  <si>
    <t>PRODUIT OU CHARGE
(cellule automatique)</t>
  </si>
  <si>
    <t>TYPE DE TRANSACTION</t>
  </si>
  <si>
    <t>NUMÉRO DU CHÈQUE</t>
  </si>
  <si>
    <t>STATUT DE LA TRANSACTION</t>
  </si>
  <si>
    <t>MONTANT</t>
  </si>
  <si>
    <t>DESCRIPTION</t>
  </si>
  <si>
    <t>Transactions en cours :</t>
  </si>
  <si>
    <t>Chèque</t>
  </si>
  <si>
    <t>Complétée</t>
  </si>
  <si>
    <t>Samuel Montplaisir</t>
  </si>
  <si>
    <t>Audrey Paquet</t>
  </si>
  <si>
    <t>5560 - Assemblées générales</t>
  </si>
  <si>
    <t>Fannie Achard</t>
  </si>
  <si>
    <t>Rachel Lamoureux* (trouver facture)</t>
  </si>
  <si>
    <t>5570 - Café et thé</t>
  </si>
  <si>
    <t>Alexis Ricard</t>
  </si>
  <si>
    <t>5540 - Comité femmes de l'ADÉPUM</t>
  </si>
  <si>
    <t>Camille Loquet</t>
  </si>
  <si>
    <t>Félix-Antoine Gélineau</t>
  </si>
  <si>
    <t>5120 - Registraire des entreprises du Québec</t>
  </si>
  <si>
    <t>Registraite des entreprises du Québec</t>
  </si>
  <si>
    <t>5270 - Party de mi-session (automne)</t>
  </si>
  <si>
    <t>5430 - Mobilisation</t>
  </si>
  <si>
    <t>Arnaud Saint-Cyr</t>
  </si>
  <si>
    <t>5250 - Autres activités socio-culturelles</t>
  </si>
  <si>
    <t>5510 - Ithaque</t>
  </si>
  <si>
    <t>Société philosophique Ithaque</t>
  </si>
  <si>
    <t>5271 - Party de fin de session (automne)</t>
  </si>
  <si>
    <t>5580 - Cadeaux aux secrétaires du Département de philosophie</t>
  </si>
  <si>
    <t>Félix Trudeau</t>
  </si>
  <si>
    <t>Rachel Lamoureux</t>
  </si>
  <si>
    <t>Pauline Noiseau</t>
  </si>
  <si>
    <t>Gabriel Hamelin-Roussel</t>
  </si>
  <si>
    <t>4130 - Bourses et subventions</t>
  </si>
  <si>
    <t>FICSUM</t>
  </si>
  <si>
    <t>4110 - Cotisations étudiantes (automne)</t>
  </si>
  <si>
    <t>Université de Montréal</t>
  </si>
  <si>
    <t>4112 - Cotisations étudiantes (été)</t>
  </si>
  <si>
    <t>4113 - Cotisations étudiantes (remises antérieures)</t>
  </si>
  <si>
    <t>4100 - Solde reporté au début</t>
  </si>
  <si>
    <t>Comptant</t>
  </si>
  <si>
    <t>Solde du compte (septembre 2017)</t>
  </si>
  <si>
    <t>4111 - Cotisations étudiantes (hiver)</t>
  </si>
  <si>
    <t>5520 - Philopolis</t>
  </si>
  <si>
    <t>Espace Philopolis Montréal</t>
  </si>
  <si>
    <t>5100 - Matériel et fournitures</t>
  </si>
  <si>
    <t>Vathanak-Maxime Len</t>
  </si>
  <si>
    <t>Shani Beaudin-Demers</t>
  </si>
  <si>
    <t>5273 - Party de mi-session (hiver)</t>
  </si>
  <si>
    <t>Traiteurs-UQAM</t>
  </si>
  <si>
    <t>5320 - Séminaire étudiant</t>
  </si>
  <si>
    <t>5300 - Colloque des Cycles supérieurs</t>
  </si>
  <si>
    <t>Catherine Lambert</t>
  </si>
  <si>
    <t>5310 - Bourses - Colloque Cycles supérieurs</t>
  </si>
  <si>
    <t>Nicolas Comtois</t>
  </si>
  <si>
    <t>Arnaud Hétu</t>
  </si>
  <si>
    <t>Maxime Fortin-Archambault</t>
  </si>
  <si>
    <t>Maxwell Ramstead</t>
  </si>
  <si>
    <t>Samuel Veissière</t>
  </si>
  <si>
    <t>5274 - Party de fin de session (hiver)</t>
  </si>
  <si>
    <t>Direction des Immeubles UdeM</t>
  </si>
  <si>
    <t>Alexandre Riel</t>
  </si>
  <si>
    <t>5410 - Cotisations ASSÉ</t>
  </si>
  <si>
    <t>5400 - Représentation externe</t>
  </si>
  <si>
    <t>5420 - Comité légal de l'ASSÉ</t>
  </si>
  <si>
    <t>5130 - Déclarations d'impôts</t>
  </si>
  <si>
    <t>Revenu Québec</t>
  </si>
  <si>
    <t>Brila Projets Jeunesse</t>
  </si>
  <si>
    <t>Réseau de résistance anti-G7</t>
  </si>
  <si>
    <t>5530 - Pensées Canadiennes</t>
  </si>
  <si>
    <t>Pensées canadiennes</t>
  </si>
  <si>
    <t>Alexandre Lord</t>
  </si>
  <si>
    <t>5260 - Activités d'accueil</t>
  </si>
  <si>
    <t>ASSÉ (H2013)</t>
  </si>
  <si>
    <t>ASSÉ (H2014)</t>
  </si>
  <si>
    <t>Erika Olivaux</t>
  </si>
  <si>
    <t>Pascal-Olivier Dumas-Dubreuil</t>
  </si>
  <si>
    <t>5230 - Projets étudiants</t>
  </si>
  <si>
    <t>Andreas Farina-Schroll</t>
  </si>
  <si>
    <t>Alexandre Allard-Charrette</t>
  </si>
  <si>
    <t>Patrice Castonguay</t>
  </si>
  <si>
    <t>Tony Desjardins</t>
  </si>
  <si>
    <t>5110 - Imprimante</t>
  </si>
  <si>
    <t>5220 - Bourses - Colloque 1er Cycle</t>
  </si>
  <si>
    <t>Louis-Olivier Brassard</t>
  </si>
  <si>
    <t>Alexia Leclerc</t>
  </si>
  <si>
    <t>Université de Montréal (rémission de chèque périmé)</t>
  </si>
  <si>
    <t>5240 - Sports</t>
  </si>
  <si>
    <t>Les Filles Fattoush</t>
  </si>
  <si>
    <t>5550 - Fillosophie</t>
  </si>
  <si>
    <t>Fillosophie</t>
  </si>
  <si>
    <t>Solde du compte (septembre 2018)</t>
  </si>
  <si>
    <t xml:space="preserve">Isabelle Gagnon </t>
  </si>
  <si>
    <t>Diana Nader</t>
  </si>
  <si>
    <t>Gabriel Toupin</t>
  </si>
  <si>
    <t>FAÉCUM PIÉ #1889</t>
  </si>
  <si>
    <t>Karl-Alexandre Pelland</t>
  </si>
  <si>
    <t>Kevin Tougas</t>
  </si>
  <si>
    <t>Badr Zekhini</t>
  </si>
  <si>
    <t>5210 - Matériel promotionnel</t>
  </si>
  <si>
    <t>Dahlia Attoui</t>
  </si>
  <si>
    <t>Catherine Tajmir</t>
  </si>
  <si>
    <t>FAÉCUM</t>
  </si>
  <si>
    <t>Catherine Le Guerrier</t>
  </si>
  <si>
    <t>5500 - Groupe travail santé psy</t>
  </si>
  <si>
    <t>5140 - Frais bancaires</t>
  </si>
  <si>
    <t>Desjardins</t>
  </si>
  <si>
    <t>Alexandra Larocque</t>
  </si>
  <si>
    <t>François-Olivier Gagnon-Bistodeau</t>
  </si>
  <si>
    <t>FAECUM</t>
  </si>
  <si>
    <t>Henri Vézina</t>
  </si>
  <si>
    <t>Gabrielle Huot-Foch</t>
  </si>
  <si>
    <t>Direction des finances</t>
  </si>
  <si>
    <t>5215 - Colloque 1er Cycle</t>
  </si>
  <si>
    <t>Olivier Morin</t>
  </si>
  <si>
    <t>En cours</t>
  </si>
  <si>
    <t>Anna-Christine Corbeil</t>
  </si>
  <si>
    <t>ADEPUM</t>
  </si>
  <si>
    <t>Marie-Anne Perreault</t>
  </si>
  <si>
    <t>Impôts</t>
  </si>
  <si>
    <t>5545 - Symposium de philosophie féministe</t>
  </si>
  <si>
    <t>5272 - Party de début de session (hiver)</t>
  </si>
  <si>
    <t>Hugo Cardinal</t>
  </si>
  <si>
    <t>Bande de gouines</t>
  </si>
  <si>
    <t>Grégoire René</t>
  </si>
  <si>
    <t>4530 - Comité femmes de l'ADÉPUM</t>
  </si>
  <si>
    <t>Affiches</t>
  </si>
  <si>
    <t>Charles Paradis-Côté</t>
  </si>
  <si>
    <t>Ariane Dörig</t>
  </si>
  <si>
    <t>Olivier Samson</t>
  </si>
  <si>
    <t>Jean-Philippe Ducharme</t>
  </si>
  <si>
    <t>Christophe Facal</t>
  </si>
  <si>
    <t>Maxim Jean-Louis Brais</t>
  </si>
  <si>
    <t>Roselyne Gendron</t>
  </si>
  <si>
    <t>4199 - Autres revenus d'administration</t>
  </si>
  <si>
    <t>-</t>
  </si>
  <si>
    <t>Olivia Ramirez-Michaud</t>
  </si>
  <si>
    <t>Sarahlou Wagner-Lapierre</t>
  </si>
  <si>
    <t>Victor Babin</t>
  </si>
  <si>
    <t>T-Shirt Philosophique</t>
  </si>
  <si>
    <t>SAÉ</t>
  </si>
  <si>
    <t>Rachel Frenette</t>
  </si>
  <si>
    <t>Alexandre Petitclerc</t>
  </si>
  <si>
    <t>Xavier Boileau</t>
  </si>
  <si>
    <t>Edgar Lopez-Asselin</t>
  </si>
  <si>
    <t>Dominic Roulx</t>
  </si>
  <si>
    <t>Étienne Rouleau</t>
  </si>
  <si>
    <t>Virement</t>
  </si>
  <si>
    <t>Comité équité de la SPQ</t>
  </si>
  <si>
    <t>Isaac Prasow-Émond</t>
  </si>
  <si>
    <t>Marie-Pier Ladouceur</t>
  </si>
  <si>
    <t>Sara Fleurpanier</t>
  </si>
  <si>
    <t>Henri Herman Vézina</t>
  </si>
  <si>
    <t xml:space="preserve">Au combat chez soi </t>
  </si>
  <si>
    <t>SAE</t>
  </si>
  <si>
    <t>Charles PC</t>
  </si>
  <si>
    <t>Quentin Phaneuf</t>
  </si>
  <si>
    <t>Chandails Sofepum</t>
  </si>
  <si>
    <t>Cycle supp (Alexandra Larocque)</t>
  </si>
  <si>
    <t>5115 - Site Internet de l'ADEPUM</t>
  </si>
  <si>
    <t>4300 - Colloque des Cycles supérieurs</t>
  </si>
  <si>
    <t>Remboursement du FICSUM</t>
  </si>
  <si>
    <t>Bourses cycle de conférence</t>
  </si>
  <si>
    <t>Bourses colloque CS</t>
  </si>
  <si>
    <t>Henri Vezina</t>
  </si>
  <si>
    <t>Charles PC (Yoga)</t>
  </si>
  <si>
    <t>Charles PC (Party fin de session annulé)</t>
  </si>
  <si>
    <t>Graphiste colloque CS</t>
  </si>
  <si>
    <t>Boursier CS</t>
  </si>
  <si>
    <t>5440 - Fonds d'urgence</t>
  </si>
  <si>
    <t>Association Anthropologie (grève)</t>
  </si>
  <si>
    <t>Pour 5 personnes = 5x180$</t>
  </si>
  <si>
    <t>Fin de la bourse (Léo M)</t>
  </si>
  <si>
    <t>Bourse CS Marie-Anne P</t>
  </si>
  <si>
    <t>Tournées St-Houblon</t>
  </si>
  <si>
    <t>Ptit buck party mi-session</t>
  </si>
  <si>
    <t>Location de salle, partagée CVE histoire CS</t>
  </si>
  <si>
    <t>Nouveau frigo pour local de l'asso</t>
  </si>
  <si>
    <t>Café et thé pour local asso</t>
  </si>
  <si>
    <t>Cours de yoga offert par l'adepum</t>
  </si>
  <si>
    <t>Bouilloire pour local de l'asso</t>
  </si>
  <si>
    <t>Sofepum, soirée jeux de société</t>
  </si>
  <si>
    <t>Quilles</t>
  </si>
  <si>
    <t>Bière avec quilles</t>
  </si>
  <si>
    <t>Consommations payées au Clébard. Deux dernières factures mal imprimées, mais avec compte crédit on voit que les montants totaux sont 8.14 et 17.58 plutôtque6.90 et 7.94</t>
  </si>
  <si>
    <t>Macarons</t>
  </si>
  <si>
    <t>pizza-ghetti party de la rentrée</t>
  </si>
  <si>
    <t>5265 - Party de la rentrée (automne)</t>
  </si>
  <si>
    <t>party de la rentrée bières</t>
  </si>
  <si>
    <t>lait et café pour le local</t>
  </si>
  <si>
    <t>Croissants pour symposium</t>
  </si>
  <si>
    <t>fournitures pour l'atelier de couture</t>
  </si>
  <si>
    <t>Collations pour le symposium</t>
  </si>
  <si>
    <t>Per diem d'une conférencière allergique</t>
  </si>
  <si>
    <t>Cours de swing</t>
  </si>
  <si>
    <t>Lait pour le local</t>
  </si>
  <si>
    <t>5 à 7 après le swing</t>
  </si>
  <si>
    <t>Thé et lait pour le local</t>
  </si>
  <si>
    <t>Squarespace, hébergement site web</t>
  </si>
  <si>
    <t>Certificats cadeaux colloque sofepum</t>
  </si>
  <si>
    <t>Design affiche</t>
  </si>
  <si>
    <t>Achat de sacs aux Petites mains, sera remboursé par les paiements des membres</t>
  </si>
  <si>
    <t>Affiches colloques</t>
  </si>
  <si>
    <t>4310 - Bourses - Colloque Cycles supérieurs</t>
  </si>
  <si>
    <t xml:space="preserve">Bourse Faécum </t>
  </si>
  <si>
    <t>Impressions affiches</t>
  </si>
  <si>
    <t>Viennoiseries pour le colloque</t>
  </si>
  <si>
    <t>Bouffe colloques</t>
  </si>
  <si>
    <t>Achat de jeux de société pour le local chez village des valeurs</t>
  </si>
  <si>
    <t>Bouffe colloque sofepum</t>
  </si>
  <si>
    <t>Repas pour colloques aux petites mains</t>
  </si>
  <si>
    <t>Bière party fin session</t>
  </si>
  <si>
    <t>Don à La Dauphinelle de profits de vente de sacs</t>
  </si>
  <si>
    <t>Revenus de vente de sacs avancée dans facture 311</t>
  </si>
  <si>
    <t>Frais de conférencière - Lila Braunschweig</t>
  </si>
  <si>
    <t>Bourse présentation colloque : Benoît Romuald Hogedez</t>
  </si>
  <si>
    <t>Bourse présentation colloque : Alexis Lafleur-Paiement</t>
  </si>
  <si>
    <t>Bourse présentation colloque : Gabriel Toupin</t>
  </si>
  <si>
    <t>Bourse présentation colloque : MAXIME FORTIN ARCHAMBAULT</t>
  </si>
  <si>
    <t>Bourse présentation colloque : Delphine Michaud</t>
  </si>
  <si>
    <t>Bourse présentation colloque : PHILIPPE LAURIN</t>
  </si>
  <si>
    <t>Bourse présentation colloque : HUGO GARANT</t>
  </si>
  <si>
    <t>Bourse présentation colloque : Bernardin Larrieux</t>
  </si>
  <si>
    <t>Bourse présentation colloque : SIMON SAINT-JULIEN</t>
  </si>
  <si>
    <t>Bourse présentation colloque : Roxanne Lépine</t>
  </si>
  <si>
    <t>Bourse présentation colloque : Laurent Lafrenière</t>
  </si>
  <si>
    <t>Bourse présentation colloque : Victor Babin</t>
  </si>
  <si>
    <t>Bourse présentation colloque : Alejandro Marcias Flores</t>
  </si>
  <si>
    <t>Revenus de vente de sacs avancée dans facture 311 - 2e partie (70 sacs à 17$)</t>
  </si>
  <si>
    <t>Café pour l'AG du 14 septembre</t>
  </si>
  <si>
    <t>Matériel pour activités d'accueil</t>
  </si>
  <si>
    <t>5.95 par mois de frais bancaires l'an passé</t>
  </si>
  <si>
    <t>Tournée pour mc carold du jeudi</t>
  </si>
  <si>
    <t>Tea time</t>
  </si>
  <si>
    <t>Atelier sofepum</t>
  </si>
  <si>
    <t>Pichet pour jeudi macarold</t>
  </si>
  <si>
    <t>Pop corn pour ciné philo</t>
  </si>
  <si>
    <t>Chocolatines pour pomodoro</t>
  </si>
  <si>
    <t>Partie de l'adepum dans rando avec l'aemum</t>
  </si>
  <si>
    <t>Saint Houblon pour mi-session</t>
  </si>
  <si>
    <t>Café pour le local</t>
  </si>
  <si>
    <t>Frites pour le 5 à 7 du jeudi</t>
  </si>
  <si>
    <t>jiu jitsu</t>
  </si>
  <si>
    <t>Café pour l'AG</t>
  </si>
  <si>
    <t>Bourse Faécum colloque cycles sup printemps 2023</t>
  </si>
  <si>
    <t>Pizzas et pichet pour le 5 à 7 du jeudi</t>
  </si>
  <si>
    <t>5 à 7 du jeudi</t>
  </si>
  <si>
    <t>Frites pour 5 à 7 cycles sup du 7 décembre</t>
  </si>
  <si>
    <t>Raphaël Marquis-Pelletier - Bourse colloque 1er cycle printemps 2023</t>
  </si>
  <si>
    <t>Sara Trépanier Fleurant - Bourse colloque 1er cycle printemps 2023</t>
  </si>
  <si>
    <t>Jacob Courchesne - Bourse colloque 1er cycle printemps 2023</t>
  </si>
  <si>
    <t>Philippe Briand - Bourse colloque 1er cycle printemps 2023</t>
  </si>
  <si>
    <t>Party de fin session pichets et pizza</t>
  </si>
  <si>
    <t>Frais bancaires août à novembre</t>
  </si>
  <si>
    <t>Anne Desruisseaux - Bourse colloque 1er cycle printemps 2023</t>
  </si>
  <si>
    <t>Noak Blottière - Bourse colloque 1er cycle printemps 2023</t>
  </si>
  <si>
    <t>Elizatbeth Patton - Bourse colloque 1er cycle printemps 2023</t>
  </si>
  <si>
    <t>Marc-André Morin  - Bourse colloque 1er cycle printemps 2023</t>
  </si>
  <si>
    <t>yoga</t>
  </si>
  <si>
    <t>trucs pour le local</t>
  </si>
  <si>
    <t>Tickets, pichets et pizza pour party mi-session</t>
  </si>
  <si>
    <t>Café pour les cyc sup au 4e</t>
  </si>
  <si>
    <t>Colloque sofepum affiches</t>
  </si>
  <si>
    <t>Communauto pour aller chercher vin/bouffe pour 5@7</t>
  </si>
  <si>
    <t>Vin pour 5@7</t>
  </si>
  <si>
    <t>Bouffe pour 5@7</t>
  </si>
  <si>
    <t>Subvention philosituées</t>
  </si>
  <si>
    <t>Conférencière invitée colloque sofepum, Julie Lavigne</t>
  </si>
  <si>
    <t>Bouffe colloque 1er cycle</t>
  </si>
  <si>
    <t>Bouffe colloque cyc sup</t>
  </si>
  <si>
    <t>Conférencier invité colloque cyc sup, Francis Dupuy-Déry</t>
  </si>
  <si>
    <t>Conférencière invitée colloque cyc sup, Celentano</t>
  </si>
  <si>
    <t>Chèques cadeaux colloque sofepum</t>
  </si>
  <si>
    <t>Viennoiseries rencontre sofepum</t>
  </si>
  <si>
    <t>Communauto pour aller chercher vin/bouffe pour 5@7 colloque</t>
  </si>
  <si>
    <t>Bouffe pour 5@7 colloque</t>
  </si>
  <si>
    <t>Vin pour 5@7 colloque</t>
  </si>
  <si>
    <t>Graphiste colloque CS - moitié du budget</t>
  </si>
  <si>
    <t>Sacs sofepum</t>
  </si>
  <si>
    <t>Café pour cycles sup</t>
  </si>
  <si>
    <t>Soirée jeux sofepum PAS FAIT</t>
  </si>
  <si>
    <t>Bouffe colloque sofepum PAS FAIT</t>
  </si>
  <si>
    <t>Bouffe party fin de session</t>
  </si>
  <si>
    <t>Graphiste colloque sofepum</t>
  </si>
  <si>
    <t>Colloque Logement et justice sociale d'Alexandre Petitclerc</t>
  </si>
  <si>
    <t>Lauréat ex-aequo de la bourse du colloque : Alejandro Macias-Flores</t>
  </si>
  <si>
    <t>Lauréat ex-aequo de la bourse du colloque : Nicolas Lacroix</t>
  </si>
  <si>
    <t>Edouard Jobin - bourses colloque 1er cycle</t>
  </si>
  <si>
    <t>Nathan Vassilev - bourses colloque 1er cycle</t>
  </si>
  <si>
    <t>Revenus de ventes de sacs sofepum</t>
  </si>
  <si>
    <t>Pizza (avec tip) et bière pour activités d'accueil</t>
  </si>
  <si>
    <t>Party début de session</t>
  </si>
  <si>
    <t>Rencontre sofepum</t>
  </si>
  <si>
    <t>Samosas et gaz pour s'y rendre</t>
  </si>
  <si>
    <t>PIÉ 2362 pour colloque Sofepum 2024</t>
  </si>
  <si>
    <t>PIÉ 2332 pour colloque 1er cycle 2024</t>
  </si>
  <si>
    <t>Cafetière filtre pour le local</t>
  </si>
  <si>
    <t>Machine à espresso pour le local</t>
  </si>
  <si>
    <t>Bouffe rencontre Sofepum</t>
  </si>
  <si>
    <t>Subvention budgétée</t>
  </si>
  <si>
    <t>Soirée au Randolph</t>
  </si>
  <si>
    <t>Bière et salle pour party mi session</t>
  </si>
  <si>
    <t>5530 - Lampadaire</t>
  </si>
  <si>
    <t>Karaoké et bière</t>
  </si>
  <si>
    <t>Subvention du GRIN pour le colloque des cycles sup</t>
  </si>
  <si>
    <t>Produit de la vente des sacs sofépum</t>
  </si>
  <si>
    <t>Formation et permis d'alcool pour colloque cyc sup</t>
  </si>
  <si>
    <t>Permis d'alcool 5 à 7 sofepum</t>
  </si>
  <si>
    <t>Subvention pour le colloque cycle sup du GRIN</t>
  </si>
  <si>
    <t>Party de début de session hiver</t>
  </si>
  <si>
    <t>Subvention SPQ pour colloque cyc sup</t>
  </si>
  <si>
    <t>Squarespace, hébergement site web + nom de domaine</t>
  </si>
  <si>
    <t>Pizza et bière à la retenue</t>
  </si>
  <si>
    <t>Bouffe 5 à 7 colloque sofepum</t>
  </si>
  <si>
    <t>Chèque 685 bourse colloque 1er cycle Alexander Kolomeets</t>
  </si>
  <si>
    <t>Impressions affiches colloque sofepum</t>
  </si>
  <si>
    <t>Lunch colloque sofepum</t>
  </si>
  <si>
    <t>Beignes colloque sofepum</t>
  </si>
  <si>
    <t>4220 - Bourses - Colloque 1er Cycle</t>
  </si>
  <si>
    <t>Subvention FAÉCUM PIÉ2431</t>
  </si>
  <si>
    <t>Bouffe 5 à 7 sofepum (sans café ds facture à droite)</t>
  </si>
  <si>
    <t>Traiteur colloque 1er cycle</t>
  </si>
  <si>
    <t>prix participation</t>
  </si>
  <si>
    <t>impression affiches</t>
  </si>
  <si>
    <t>Petites mains boîtes à lunch colloque cyc sup</t>
  </si>
  <si>
    <t>Hôtel Mitia Beaulne colloque cyc sup</t>
  </si>
  <si>
    <t>Train Mitia Beaulne colloque cyc sup</t>
  </si>
  <si>
    <t>Communauto - colloque cyc sup</t>
  </si>
  <si>
    <t>maxi - colloque cyc sup</t>
  </si>
  <si>
    <t>épicerie - colloque cyc sup</t>
  </si>
  <si>
    <t>première moisson - colloque cyc sup</t>
  </si>
  <si>
    <t>SAQ - colloque cyc sup</t>
  </si>
  <si>
    <t>Stationnement UdeM pour la journée transport des boissons - colloque cyc sup</t>
  </si>
  <si>
    <t>Party fin de session</t>
  </si>
  <si>
    <t>Détartrant machine à café</t>
  </si>
  <si>
    <t>Traiteur colloque cycles sup</t>
  </si>
  <si>
    <t>Subvention du département</t>
  </si>
  <si>
    <t>Subvention du CRÉ</t>
  </si>
  <si>
    <t>Subvention CIRST</t>
  </si>
  <si>
    <t>Fin bouffe colloque cyc sup</t>
  </si>
  <si>
    <t>Party de la rentrée</t>
  </si>
  <si>
    <t>Activités d'accueil, pizza</t>
  </si>
  <si>
    <t>Party de la rentrée tab Nestor</t>
  </si>
  <si>
    <t>Snacks ciné-philo</t>
  </si>
  <si>
    <t>Marqueurs pour le local</t>
  </si>
  <si>
    <t>Verres pour le local</t>
  </si>
  <si>
    <t>Pizza pour les nouveaux</t>
  </si>
  <si>
    <t>Samosas pour l'AG d'élections</t>
  </si>
  <si>
    <t>Frais bancaires année 30 juin 2024-2025</t>
  </si>
  <si>
    <t>Permis d'alcool 5 à 7 cycles sup</t>
  </si>
  <si>
    <t>Vin 5 à 7 cycles sup</t>
  </si>
  <si>
    <t>Samosas pour AG de grève</t>
  </si>
  <si>
    <t>Bouffe 5@7 cycles sup</t>
  </si>
  <si>
    <t>Pièce pour réparer imprimante</t>
  </si>
  <si>
    <t>Lait d'avoine pour AG grève</t>
  </si>
  <si>
    <t>ÉTATS DES RÉSULTATS COMPARATIFS</t>
  </si>
  <si>
    <t>RÉEL</t>
  </si>
  <si>
    <t>BUDGET</t>
  </si>
  <si>
    <t>DELTA</t>
  </si>
  <si>
    <t>TOTAL SERVICES</t>
  </si>
  <si>
    <t>Start Date</t>
  </si>
  <si>
    <t>End Date</t>
  </si>
  <si>
    <t>YEAR</t>
  </si>
  <si>
    <t>Débit</t>
  </si>
  <si>
    <t>Subvention pour colloque 2026 de l'UdeM, pour…?</t>
  </si>
  <si>
    <t>Pichets pour party fin de session</t>
  </si>
  <si>
    <t>Graphiste sofepum</t>
  </si>
  <si>
    <t>5540 - Comité féministe de l'ADÉPUM</t>
  </si>
  <si>
    <t>Impression affiches sofepum</t>
  </si>
  <si>
    <t>Samosas</t>
  </si>
  <si>
    <t>Nouvel hébergement site web OVH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</si>
</sst>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* #,##0.00_-;\-&quot;$&quot;* #,##0.00_-;_-&quot;$&quot;* &quot;-&quot;??_-;_-@_-"/>
    <numFmt numFmtId="164" formatCode="_ * #,##0.00_)\ &quot;$&quot;_ ;_ * \(#,##0.00\)\ &quot;$&quot;_ ;_ * &quot;-&quot;??_)\ &quot;$&quot;_ ;_ @_ "/>
    <numFmt numFmtId="165" formatCode="_-* #,##0.00\ &quot;$&quot;_-;\-* #,##0.00\ &quot;$&quot;_-;_-* &quot;-&quot;??\ &quot;$&quot;_-;_-@_-"/>
    <numFmt numFmtId="166" formatCode="yyyy/mm/dd;@"/>
    <numFmt numFmtId="167" formatCode="#,##0\ [$$-C0C]_);\(#,##0\ [$$-C0C]\)"/>
    <numFmt numFmtId="168" formatCode="#,##0.00\ [$$-C0C]"/>
    <numFmt numFmtId="169" formatCode="\•\ @"/>
    <numFmt numFmtId="170" formatCode="#,##0.00\ [$$-C0C]_);\(#,##0.00\ [$$-C0C]\)"/>
    <numFmt numFmtId="171" formatCode="_ * #,##0.00_ \ [$$-C0C]_ ;_ * \-#,##0.00\ \ [$$-C0C]_ ;_ * &quot;-&quot;??_ \ [$$-C0C]_ ;_ @_ "/>
  </numFmts>
  <fonts count="3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u/>
      <sz val="12"/>
      <color theme="1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b/>
      <u/>
      <sz val="12"/>
      <color rgb="FFFF0000"/>
      <name val="Arial"/>
      <family val="2"/>
    </font>
    <font>
      <b/>
      <u/>
      <sz val="12"/>
      <color theme="8"/>
      <name val="Arial"/>
      <family val="2"/>
    </font>
    <font>
      <b/>
      <u/>
      <sz val="12"/>
      <color rgb="FF00B050"/>
      <name val="Arial"/>
      <family val="2"/>
    </font>
    <font>
      <b/>
      <u/>
      <sz val="12"/>
      <color theme="1" tint="0.499984740745262"/>
      <name val="Arial"/>
      <family val="2"/>
    </font>
    <font>
      <i/>
      <sz val="8"/>
      <color theme="1"/>
      <name val="Arial"/>
      <family val="2"/>
    </font>
    <font>
      <b/>
      <outline/>
      <sz val="14"/>
      <color theme="1"/>
      <name val="Arial"/>
      <family val="2"/>
    </font>
    <font>
      <b/>
      <i/>
      <sz val="10"/>
      <color theme="1" tint="0.499984740745262"/>
      <name val="Arial"/>
      <family val="2"/>
    </font>
    <font>
      <sz val="10"/>
      <color theme="0" tint="-0.14999847407452621"/>
      <name val="Arial"/>
      <family val="2"/>
    </font>
    <font>
      <b/>
      <sz val="10"/>
      <color theme="0"/>
      <name val="Arial"/>
      <family val="2"/>
    </font>
    <font>
      <b/>
      <u/>
      <sz val="12"/>
      <color theme="7" tint="-0.249977111117893"/>
      <name val="Arial"/>
      <family val="2"/>
    </font>
    <font>
      <b/>
      <sz val="8"/>
      <color theme="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0"/>
      <color rgb="FFFF0000"/>
      <name val="Arial"/>
      <family val="2"/>
    </font>
    <font>
      <sz val="10"/>
      <color rgb="FF1E1919"/>
      <name val="Arial"/>
      <family val="2"/>
    </font>
    <font>
      <sz val="10"/>
      <color theme="1"/>
      <name val="Arial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theme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7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51">
    <xf numFmtId="0" fontId="0" fillId="0" borderId="0" xfId="0"/>
    <xf numFmtId="0" fontId="4" fillId="2" borderId="0" xfId="0" applyFont="1" applyFill="1"/>
    <xf numFmtId="0" fontId="6" fillId="2" borderId="2" xfId="0" applyFont="1" applyFill="1" applyBorder="1" applyAlignment="1">
      <alignment horizontal="center"/>
    </xf>
    <xf numFmtId="0" fontId="8" fillId="0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4" fillId="4" borderId="0" xfId="0" applyFont="1" applyFill="1"/>
    <xf numFmtId="0" fontId="5" fillId="4" borderId="0" xfId="0" applyNumberFormat="1" applyFont="1" applyFill="1" applyAlignment="1" applyProtection="1">
      <alignment horizontal="left" vertical="center"/>
      <protection hidden="1"/>
    </xf>
    <xf numFmtId="0" fontId="4" fillId="4" borderId="0" xfId="0" applyNumberFormat="1" applyFont="1" applyFill="1" applyAlignment="1" applyProtection="1">
      <alignment horizontal="right" vertical="center" wrapText="1"/>
      <protection hidden="1"/>
    </xf>
    <xf numFmtId="0" fontId="4" fillId="5" borderId="0" xfId="0" applyFont="1" applyFill="1"/>
    <xf numFmtId="0" fontId="5" fillId="5" borderId="0" xfId="0" applyNumberFormat="1" applyFont="1" applyFill="1" applyAlignment="1" applyProtection="1">
      <alignment horizontal="left" vertical="center"/>
      <protection hidden="1"/>
    </xf>
    <xf numFmtId="0" fontId="9" fillId="5" borderId="5" xfId="0" applyNumberFormat="1" applyFont="1" applyFill="1" applyBorder="1" applyAlignment="1" applyProtection="1">
      <alignment horizontal="center" vertical="center" wrapText="1"/>
      <protection hidden="1"/>
    </xf>
    <xf numFmtId="167" fontId="5" fillId="5" borderId="5" xfId="0" applyNumberFormat="1" applyFont="1" applyFill="1" applyBorder="1" applyAlignment="1" applyProtection="1">
      <alignment horizontal="right" vertical="center"/>
      <protection hidden="1"/>
    </xf>
    <xf numFmtId="0" fontId="9" fillId="4" borderId="0" xfId="0" applyNumberFormat="1" applyFont="1" applyFill="1" applyBorder="1" applyAlignment="1" applyProtection="1">
      <alignment horizontal="right" vertical="center" wrapText="1"/>
      <protection hidden="1"/>
    </xf>
    <xf numFmtId="0" fontId="4" fillId="4" borderId="0" xfId="0" applyFont="1" applyFill="1" applyAlignment="1">
      <alignment horizontal="right"/>
    </xf>
    <xf numFmtId="1" fontId="8" fillId="0" borderId="0" xfId="0" applyNumberFormat="1" applyFont="1" applyFill="1" applyAlignment="1" applyProtection="1">
      <alignment horizontal="center" vertical="center"/>
      <protection locked="0"/>
    </xf>
    <xf numFmtId="166" fontId="8" fillId="0" borderId="0" xfId="0" applyNumberFormat="1" applyFont="1" applyFill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center" vertical="center"/>
    </xf>
    <xf numFmtId="0" fontId="8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vertical="center"/>
    </xf>
    <xf numFmtId="0" fontId="0" fillId="0" borderId="0" xfId="0" applyFill="1" applyProtection="1">
      <protection locked="0"/>
    </xf>
    <xf numFmtId="0" fontId="5" fillId="2" borderId="0" xfId="0" applyFont="1" applyFill="1" applyAlignment="1">
      <alignment horizontal="left" vertical="center"/>
    </xf>
    <xf numFmtId="0" fontId="8" fillId="0" borderId="0" xfId="0" applyNumberFormat="1" applyFont="1" applyFill="1" applyAlignment="1">
      <alignment vertical="center"/>
    </xf>
    <xf numFmtId="0" fontId="18" fillId="5" borderId="0" xfId="0" applyNumberFormat="1" applyFont="1" applyFill="1" applyAlignment="1" applyProtection="1">
      <alignment horizontal="left" vertical="center"/>
      <protection hidden="1"/>
    </xf>
    <xf numFmtId="0" fontId="8" fillId="4" borderId="0" xfId="0" applyFont="1" applyFill="1"/>
    <xf numFmtId="0" fontId="6" fillId="4" borderId="0" xfId="0" applyFont="1" applyFill="1" applyAlignment="1">
      <alignment horizontal="center" vertical="center"/>
    </xf>
    <xf numFmtId="0" fontId="6" fillId="4" borderId="0" xfId="0" applyNumberFormat="1" applyFont="1" applyFill="1" applyAlignment="1" applyProtection="1">
      <alignment horizontal="left" vertical="center"/>
      <protection hidden="1"/>
    </xf>
    <xf numFmtId="0" fontId="8" fillId="4" borderId="0" xfId="0" applyNumberFormat="1" applyFont="1" applyFill="1" applyAlignment="1" applyProtection="1">
      <alignment horizontal="left" vertical="center" indent="2"/>
      <protection hidden="1"/>
    </xf>
    <xf numFmtId="37" fontId="8" fillId="2" borderId="0" xfId="0" applyNumberFormat="1" applyFont="1" applyFill="1" applyAlignment="1" applyProtection="1">
      <alignment horizontal="right" vertical="center"/>
      <protection locked="0" hidden="1"/>
    </xf>
    <xf numFmtId="167" fontId="6" fillId="4" borderId="1" xfId="0" applyNumberFormat="1" applyFont="1" applyFill="1" applyBorder="1" applyAlignment="1" applyProtection="1">
      <alignment horizontal="right" vertical="center"/>
      <protection hidden="1"/>
    </xf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vertical="center"/>
    </xf>
    <xf numFmtId="37" fontId="6" fillId="4" borderId="0" xfId="0" applyNumberFormat="1" applyFont="1" applyFill="1" applyAlignment="1">
      <alignment vertical="center"/>
    </xf>
    <xf numFmtId="0" fontId="8" fillId="4" borderId="0" xfId="0" applyFont="1" applyFill="1" applyAlignment="1">
      <alignment horizontal="left" indent="2"/>
    </xf>
    <xf numFmtId="167" fontId="5" fillId="4" borderId="4" xfId="0" applyNumberFormat="1" applyFont="1" applyFill="1" applyBorder="1" applyAlignment="1" applyProtection="1">
      <alignment horizontal="right" vertical="center"/>
      <protection hidden="1"/>
    </xf>
    <xf numFmtId="167" fontId="5" fillId="4" borderId="3" xfId="0" applyNumberFormat="1" applyFont="1" applyFill="1" applyBorder="1" applyAlignment="1" applyProtection="1">
      <alignment horizontal="right" vertical="center"/>
      <protection hidden="1"/>
    </xf>
    <xf numFmtId="3" fontId="8" fillId="5" borderId="0" xfId="0" applyNumberFormat="1" applyFont="1" applyFill="1" applyAlignment="1">
      <alignment horizontal="right" vertical="center"/>
    </xf>
    <xf numFmtId="0" fontId="8" fillId="5" borderId="0" xfId="0" applyFont="1" applyFill="1"/>
    <xf numFmtId="3" fontId="8" fillId="5" borderId="0" xfId="0" applyNumberFormat="1" applyFont="1" applyFill="1" applyAlignment="1">
      <alignment vertical="center"/>
    </xf>
    <xf numFmtId="3" fontId="8" fillId="5" borderId="5" xfId="0" applyNumberFormat="1" applyFont="1" applyFill="1" applyBorder="1" applyAlignment="1">
      <alignment vertical="center"/>
    </xf>
    <xf numFmtId="3" fontId="6" fillId="5" borderId="0" xfId="0" applyNumberFormat="1" applyFont="1" applyFill="1" applyAlignment="1">
      <alignment horizontal="center" vertical="center"/>
    </xf>
    <xf numFmtId="0" fontId="6" fillId="5" borderId="0" xfId="0" applyFont="1" applyFill="1" applyAlignment="1">
      <alignment horizontal="center"/>
    </xf>
    <xf numFmtId="3" fontId="6" fillId="5" borderId="5" xfId="0" applyNumberFormat="1" applyFont="1" applyFill="1" applyBorder="1" applyAlignment="1">
      <alignment horizontal="center" vertical="center"/>
    </xf>
    <xf numFmtId="0" fontId="8" fillId="5" borderId="0" xfId="0" applyFont="1" applyFill="1" applyAlignment="1">
      <alignment vertical="center"/>
    </xf>
    <xf numFmtId="0" fontId="8" fillId="5" borderId="5" xfId="0" applyFont="1" applyFill="1" applyBorder="1" applyAlignment="1">
      <alignment vertical="center"/>
    </xf>
    <xf numFmtId="37" fontId="6" fillId="5" borderId="0" xfId="0" applyNumberFormat="1" applyFont="1" applyFill="1" applyAlignment="1">
      <alignment vertical="center"/>
    </xf>
    <xf numFmtId="37" fontId="6" fillId="5" borderId="5" xfId="0" applyNumberFormat="1" applyFont="1" applyFill="1" applyBorder="1" applyAlignment="1">
      <alignment vertical="center"/>
    </xf>
    <xf numFmtId="37" fontId="8" fillId="5" borderId="0" xfId="0" applyNumberFormat="1" applyFont="1" applyFill="1" applyAlignment="1" applyProtection="1">
      <alignment horizontal="right" vertical="center"/>
      <protection hidden="1"/>
    </xf>
    <xf numFmtId="37" fontId="8" fillId="5" borderId="5" xfId="0" applyNumberFormat="1" applyFont="1" applyFill="1" applyBorder="1" applyAlignment="1" applyProtection="1">
      <alignment horizontal="right" vertical="center"/>
      <protection hidden="1"/>
    </xf>
    <xf numFmtId="167" fontId="6" fillId="5" borderId="1" xfId="0" applyNumberFormat="1" applyFont="1" applyFill="1" applyBorder="1" applyAlignment="1" applyProtection="1">
      <alignment horizontal="right" vertical="center"/>
      <protection hidden="1"/>
    </xf>
    <xf numFmtId="167" fontId="6" fillId="5" borderId="5" xfId="0" applyNumberFormat="1" applyFont="1" applyFill="1" applyBorder="1" applyAlignment="1" applyProtection="1">
      <alignment horizontal="right" vertical="center"/>
      <protection hidden="1"/>
    </xf>
    <xf numFmtId="167" fontId="8" fillId="5" borderId="0" xfId="0" applyNumberFormat="1" applyFont="1" applyFill="1" applyAlignment="1">
      <alignment vertical="center"/>
    </xf>
    <xf numFmtId="167" fontId="8" fillId="5" borderId="5" xfId="0" applyNumberFormat="1" applyFont="1" applyFill="1" applyBorder="1" applyAlignment="1">
      <alignment vertical="center"/>
    </xf>
    <xf numFmtId="167" fontId="5" fillId="5" borderId="4" xfId="0" applyNumberFormat="1" applyFont="1" applyFill="1" applyBorder="1" applyAlignment="1" applyProtection="1">
      <alignment horizontal="right" vertical="center"/>
      <protection hidden="1"/>
    </xf>
    <xf numFmtId="167" fontId="5" fillId="5" borderId="3" xfId="0" applyNumberFormat="1" applyFont="1" applyFill="1" applyBorder="1" applyAlignment="1" applyProtection="1">
      <alignment horizontal="right" vertical="center"/>
      <protection hidden="1"/>
    </xf>
    <xf numFmtId="0" fontId="8" fillId="4" borderId="0" xfId="0" applyFont="1" applyFill="1" applyAlignment="1" applyProtection="1">
      <alignment vertical="center"/>
    </xf>
    <xf numFmtId="0" fontId="8" fillId="4" borderId="6" xfId="0" applyFont="1" applyFill="1" applyBorder="1" applyAlignment="1" applyProtection="1">
      <alignment vertical="center"/>
    </xf>
    <xf numFmtId="0" fontId="8" fillId="4" borderId="12" xfId="0" applyFont="1" applyFill="1" applyBorder="1" applyAlignment="1" applyProtection="1">
      <alignment vertical="center"/>
    </xf>
    <xf numFmtId="0" fontId="8" fillId="4" borderId="7" xfId="0" applyFont="1" applyFill="1" applyBorder="1" applyAlignment="1" applyProtection="1">
      <alignment vertical="center"/>
    </xf>
    <xf numFmtId="0" fontId="8" fillId="4" borderId="8" xfId="0" applyFont="1" applyFill="1" applyBorder="1" applyAlignment="1" applyProtection="1">
      <alignment vertical="center"/>
    </xf>
    <xf numFmtId="0" fontId="8" fillId="4" borderId="0" xfId="0" applyFont="1" applyFill="1" applyBorder="1" applyAlignment="1" applyProtection="1">
      <alignment vertical="center"/>
    </xf>
    <xf numFmtId="0" fontId="8" fillId="4" borderId="9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horizontal="left" vertical="center"/>
      <protection locked="0"/>
    </xf>
    <xf numFmtId="0" fontId="8" fillId="4" borderId="10" xfId="0" applyFont="1" applyFill="1" applyBorder="1" applyAlignment="1" applyProtection="1">
      <alignment vertical="center"/>
    </xf>
    <xf numFmtId="0" fontId="8" fillId="4" borderId="13" xfId="0" applyFont="1" applyFill="1" applyBorder="1" applyAlignment="1" applyProtection="1">
      <alignment vertical="center"/>
    </xf>
    <xf numFmtId="0" fontId="8" fillId="4" borderId="11" xfId="0" applyFont="1" applyFill="1" applyBorder="1" applyAlignment="1" applyProtection="1">
      <alignment vertical="center"/>
    </xf>
    <xf numFmtId="0" fontId="12" fillId="4" borderId="0" xfId="0" applyFont="1" applyFill="1" applyAlignment="1" applyProtection="1">
      <alignment vertical="center"/>
    </xf>
    <xf numFmtId="0" fontId="8" fillId="4" borderId="0" xfId="0" applyFont="1" applyFill="1" applyAlignment="1" applyProtection="1">
      <alignment horizontal="left" vertical="center" wrapText="1"/>
    </xf>
    <xf numFmtId="169" fontId="12" fillId="4" borderId="0" xfId="0" applyNumberFormat="1" applyFont="1" applyFill="1" applyAlignment="1" applyProtection="1">
      <alignment horizontal="left" vertical="center" wrapText="1" indent="1"/>
    </xf>
    <xf numFmtId="0" fontId="8" fillId="4" borderId="0" xfId="0" applyFont="1" applyFill="1" applyAlignment="1" applyProtection="1">
      <alignment horizontal="right" vertical="center"/>
    </xf>
    <xf numFmtId="0" fontId="12" fillId="4" borderId="0" xfId="0" applyNumberFormat="1" applyFont="1" applyFill="1" applyAlignment="1" applyProtection="1">
      <alignment vertical="center" wrapText="1"/>
    </xf>
    <xf numFmtId="0" fontId="20" fillId="4" borderId="0" xfId="0" applyFont="1" applyFill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left" vertical="center"/>
      <protection locked="0"/>
    </xf>
    <xf numFmtId="0" fontId="10" fillId="4" borderId="0" xfId="0" applyFont="1" applyFill="1" applyAlignment="1" applyProtection="1">
      <alignment vertical="center"/>
    </xf>
    <xf numFmtId="0" fontId="18" fillId="2" borderId="0" xfId="0" applyNumberFormat="1" applyFont="1" applyFill="1" applyAlignment="1" applyProtection="1">
      <alignment horizontal="left" vertical="center"/>
      <protection hidden="1"/>
    </xf>
    <xf numFmtId="0" fontId="8" fillId="2" borderId="0" xfId="0" applyFont="1" applyFill="1"/>
    <xf numFmtId="1" fontId="21" fillId="0" borderId="0" xfId="0" applyNumberFormat="1" applyFont="1" applyFill="1" applyBorder="1" applyAlignment="1">
      <alignment horizontal="center" vertical="center" wrapText="1"/>
    </xf>
    <xf numFmtId="166" fontId="21" fillId="0" borderId="0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 wrapText="1"/>
    </xf>
    <xf numFmtId="165" fontId="21" fillId="0" borderId="0" xfId="0" applyNumberFormat="1" applyFont="1" applyFill="1" applyBorder="1" applyAlignment="1">
      <alignment horizontal="center" vertical="center" wrapText="1"/>
    </xf>
    <xf numFmtId="1" fontId="8" fillId="0" borderId="14" xfId="0" applyNumberFormat="1" applyFont="1" applyFill="1" applyBorder="1" applyAlignment="1" applyProtection="1">
      <alignment horizontal="center" vertical="center"/>
      <protection locked="0"/>
    </xf>
    <xf numFmtId="166" fontId="8" fillId="0" borderId="14" xfId="0" applyNumberFormat="1" applyFont="1" applyFill="1" applyBorder="1" applyAlignment="1" applyProtection="1">
      <alignment horizontal="center" vertical="center"/>
      <protection locked="0"/>
    </xf>
    <xf numFmtId="0" fontId="8" fillId="0" borderId="14" xfId="0" applyFont="1" applyFill="1" applyBorder="1" applyAlignment="1" applyProtection="1">
      <alignment horizontal="center" vertical="center"/>
      <protection locked="0"/>
    </xf>
    <xf numFmtId="0" fontId="8" fillId="0" borderId="14" xfId="0" applyFont="1" applyFill="1" applyBorder="1" applyAlignment="1" applyProtection="1">
      <alignment horizontal="left" vertical="center"/>
      <protection locked="0"/>
    </xf>
    <xf numFmtId="168" fontId="8" fillId="0" borderId="14" xfId="0" applyNumberFormat="1" applyFont="1" applyFill="1" applyBorder="1" applyAlignment="1" applyProtection="1">
      <alignment horizontal="right" vertical="center"/>
      <protection locked="0"/>
    </xf>
    <xf numFmtId="0" fontId="8" fillId="0" borderId="14" xfId="0" applyFont="1" applyFill="1" applyBorder="1" applyAlignment="1" applyProtection="1">
      <alignment horizontal="left" vertical="center" shrinkToFit="1"/>
      <protection locked="0"/>
    </xf>
    <xf numFmtId="168" fontId="21" fillId="3" borderId="0" xfId="0" applyNumberFormat="1" applyFont="1" applyFill="1" applyBorder="1" applyAlignment="1" applyProtection="1">
      <alignment horizontal="center" vertical="center" wrapText="1"/>
    </xf>
    <xf numFmtId="0" fontId="21" fillId="3" borderId="0" xfId="0" applyFont="1" applyFill="1" applyBorder="1" applyAlignment="1" applyProtection="1">
      <alignment horizontal="center" vertical="center" wrapText="1"/>
    </xf>
    <xf numFmtId="166" fontId="8" fillId="0" borderId="14" xfId="0" applyNumberFormat="1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left" vertical="center"/>
    </xf>
    <xf numFmtId="0" fontId="8" fillId="2" borderId="0" xfId="0" applyFont="1" applyFill="1" applyBorder="1" applyAlignment="1" applyProtection="1">
      <alignment horizontal="center" vertical="center" wrapText="1"/>
    </xf>
    <xf numFmtId="165" fontId="8" fillId="2" borderId="0" xfId="0" applyNumberFormat="1" applyFont="1" applyFill="1" applyBorder="1" applyAlignment="1" applyProtection="1">
      <alignment horizontal="left" vertical="center"/>
      <protection locked="0"/>
    </xf>
    <xf numFmtId="0" fontId="8" fillId="0" borderId="14" xfId="0" applyFont="1" applyFill="1" applyBorder="1" applyAlignment="1" applyProtection="1">
      <alignment horizontal="left" vertical="center"/>
    </xf>
    <xf numFmtId="166" fontId="8" fillId="2" borderId="0" xfId="0" applyNumberFormat="1" applyFont="1" applyFill="1" applyAlignment="1" applyProtection="1">
      <alignment horizontal="center" vertical="center"/>
      <protection locked="0"/>
    </xf>
    <xf numFmtId="0" fontId="0" fillId="2" borderId="0" xfId="0" applyFill="1"/>
    <xf numFmtId="0" fontId="0" fillId="2" borderId="0" xfId="0" applyFill="1" applyProtection="1"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5" fillId="2" borderId="0" xfId="0" applyNumberFormat="1" applyFont="1" applyFill="1" applyAlignment="1" applyProtection="1">
      <alignment horizontal="left" vertical="center"/>
      <protection hidden="1"/>
    </xf>
    <xf numFmtId="0" fontId="8" fillId="4" borderId="0" xfId="0" applyNumberFormat="1" applyFont="1" applyFill="1" applyAlignment="1" applyProtection="1">
      <alignment horizontal="left" vertical="center"/>
      <protection hidden="1"/>
    </xf>
    <xf numFmtId="0" fontId="24" fillId="6" borderId="15" xfId="0" applyFont="1" applyFill="1" applyBorder="1" applyAlignment="1">
      <alignment horizontal="left" vertical="center"/>
    </xf>
    <xf numFmtId="0" fontId="24" fillId="6" borderId="16" xfId="0" applyFont="1" applyFill="1" applyBorder="1" applyAlignment="1">
      <alignment vertical="center"/>
    </xf>
    <xf numFmtId="0" fontId="24" fillId="0" borderId="15" xfId="0" applyFont="1" applyBorder="1" applyAlignment="1">
      <alignment horizontal="left" vertical="center"/>
    </xf>
    <xf numFmtId="0" fontId="24" fillId="0" borderId="16" xfId="0" applyFont="1" applyBorder="1" applyAlignment="1">
      <alignment vertical="center"/>
    </xf>
    <xf numFmtId="167" fontId="6" fillId="4" borderId="0" xfId="0" applyNumberFormat="1" applyFont="1" applyFill="1" applyBorder="1" applyAlignment="1" applyProtection="1">
      <alignment horizontal="right" vertical="center"/>
      <protection hidden="1"/>
    </xf>
    <xf numFmtId="0" fontId="25" fillId="7" borderId="0" xfId="0" applyFont="1" applyFill="1" applyAlignment="1" applyProtection="1">
      <alignment horizontal="left" vertical="center"/>
      <protection hidden="1"/>
    </xf>
    <xf numFmtId="37" fontId="25" fillId="7" borderId="0" xfId="0" applyNumberFormat="1" applyFont="1" applyFill="1" applyAlignment="1">
      <alignment vertical="center"/>
    </xf>
    <xf numFmtId="167" fontId="25" fillId="7" borderId="1" xfId="0" applyNumberFormat="1" applyFont="1" applyFill="1" applyBorder="1" applyAlignment="1" applyProtection="1">
      <alignment horizontal="right" vertical="center"/>
      <protection hidden="1"/>
    </xf>
    <xf numFmtId="0" fontId="24" fillId="7" borderId="0" xfId="0" applyFont="1" applyFill="1" applyAlignment="1" applyProtection="1">
      <alignment horizontal="left" vertical="center" indent="2"/>
      <protection hidden="1"/>
    </xf>
    <xf numFmtId="0" fontId="5" fillId="9" borderId="0" xfId="0" applyNumberFormat="1" applyFont="1" applyFill="1" applyAlignment="1" applyProtection="1">
      <alignment horizontal="left" vertical="center"/>
      <protection hidden="1"/>
    </xf>
    <xf numFmtId="167" fontId="5" fillId="9" borderId="0" xfId="0" applyNumberFormat="1" applyFont="1" applyFill="1" applyAlignment="1">
      <alignment vertical="center"/>
    </xf>
    <xf numFmtId="0" fontId="4" fillId="9" borderId="0" xfId="0" applyFont="1" applyFill="1"/>
    <xf numFmtId="39" fontId="8" fillId="2" borderId="0" xfId="0" applyNumberFormat="1" applyFont="1" applyFill="1" applyAlignment="1" applyProtection="1">
      <alignment horizontal="right" vertical="center"/>
      <protection locked="0" hidden="1"/>
    </xf>
    <xf numFmtId="2" fontId="8" fillId="2" borderId="0" xfId="0" applyNumberFormat="1" applyFont="1" applyFill="1" applyAlignment="1">
      <alignment horizontal="right" vertical="center"/>
    </xf>
    <xf numFmtId="1" fontId="8" fillId="0" borderId="0" xfId="0" applyNumberFormat="1" applyFont="1" applyFill="1" applyBorder="1" applyAlignment="1" applyProtection="1">
      <alignment horizontal="center" vertical="center"/>
      <protection locked="0"/>
    </xf>
    <xf numFmtId="166" fontId="8" fillId="0" borderId="0" xfId="0" applyNumberFormat="1" applyFont="1" applyFill="1" applyBorder="1" applyAlignment="1" applyProtection="1">
      <alignment horizontal="center" vertical="center"/>
      <protection locked="0"/>
    </xf>
    <xf numFmtId="166" fontId="8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center" vertical="center"/>
      <protection locked="0"/>
    </xf>
    <xf numFmtId="168" fontId="8" fillId="0" borderId="0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Border="1" applyAlignment="1" applyProtection="1">
      <alignment horizontal="left" vertical="center" shrinkToFit="1"/>
      <protection locked="0"/>
    </xf>
    <xf numFmtId="166" fontId="8" fillId="0" borderId="0" xfId="0" applyNumberFormat="1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left" vertical="center"/>
    </xf>
    <xf numFmtId="168" fontId="8" fillId="0" borderId="0" xfId="0" applyNumberFormat="1" applyFont="1" applyFill="1" applyAlignment="1" applyProtection="1">
      <alignment horizontal="right" vertical="center"/>
      <protection locked="0"/>
    </xf>
    <xf numFmtId="167" fontId="6" fillId="5" borderId="0" xfId="0" applyNumberFormat="1" applyFont="1" applyFill="1" applyBorder="1" applyAlignment="1" applyProtection="1">
      <alignment horizontal="right" vertical="center"/>
      <protection hidden="1"/>
    </xf>
    <xf numFmtId="37" fontId="25" fillId="7" borderId="5" xfId="0" applyNumberFormat="1" applyFont="1" applyFill="1" applyBorder="1" applyAlignment="1">
      <alignment vertical="center"/>
    </xf>
    <xf numFmtId="37" fontId="24" fillId="7" borderId="0" xfId="0" applyNumberFormat="1" applyFont="1" applyFill="1" applyAlignment="1" applyProtection="1">
      <alignment horizontal="right" vertical="center"/>
      <protection hidden="1"/>
    </xf>
    <xf numFmtId="37" fontId="24" fillId="7" borderId="5" xfId="0" applyNumberFormat="1" applyFont="1" applyFill="1" applyBorder="1" applyAlignment="1" applyProtection="1">
      <alignment horizontal="right" vertical="center"/>
      <protection hidden="1"/>
    </xf>
    <xf numFmtId="167" fontId="25" fillId="7" borderId="5" xfId="0" applyNumberFormat="1" applyFont="1" applyFill="1" applyBorder="1" applyAlignment="1" applyProtection="1">
      <alignment horizontal="right" vertical="center"/>
      <protection hidden="1"/>
    </xf>
    <xf numFmtId="167" fontId="5" fillId="9" borderId="5" xfId="0" applyNumberFormat="1" applyFont="1" applyFill="1" applyBorder="1" applyAlignment="1">
      <alignment vertical="center"/>
    </xf>
    <xf numFmtId="0" fontId="5" fillId="9" borderId="0" xfId="0" applyFont="1" applyFill="1" applyAlignment="1">
      <alignment vertical="center"/>
    </xf>
    <xf numFmtId="0" fontId="5" fillId="9" borderId="5" xfId="0" applyFont="1" applyFill="1" applyBorder="1" applyAlignment="1">
      <alignment vertical="center"/>
    </xf>
    <xf numFmtId="167" fontId="25" fillId="7" borderId="0" xfId="0" applyNumberFormat="1" applyFont="1" applyFill="1" applyBorder="1" applyAlignment="1" applyProtection="1">
      <alignment horizontal="right" vertical="center"/>
      <protection hidden="1"/>
    </xf>
    <xf numFmtId="0" fontId="26" fillId="7" borderId="0" xfId="0" applyFont="1" applyFill="1" applyAlignment="1" applyProtection="1">
      <alignment horizontal="left" vertical="center"/>
      <protection hidden="1"/>
    </xf>
    <xf numFmtId="167" fontId="26" fillId="7" borderId="4" xfId="0" applyNumberFormat="1" applyFont="1" applyFill="1" applyBorder="1" applyAlignment="1" applyProtection="1">
      <alignment horizontal="right" vertical="center"/>
      <protection hidden="1"/>
    </xf>
    <xf numFmtId="0" fontId="27" fillId="7" borderId="0" xfId="0" applyFont="1" applyFill="1"/>
    <xf numFmtId="167" fontId="26" fillId="7" borderId="5" xfId="0" applyNumberFormat="1" applyFont="1" applyFill="1" applyBorder="1" applyAlignment="1" applyProtection="1">
      <alignment horizontal="right" vertical="center"/>
      <protection hidden="1"/>
    </xf>
    <xf numFmtId="170" fontId="6" fillId="4" borderId="1" xfId="0" applyNumberFormat="1" applyFont="1" applyFill="1" applyBorder="1" applyAlignment="1" applyProtection="1">
      <alignment horizontal="right" vertical="center"/>
      <protection hidden="1"/>
    </xf>
    <xf numFmtId="170" fontId="5" fillId="4" borderId="4" xfId="0" applyNumberFormat="1" applyFont="1" applyFill="1" applyBorder="1" applyAlignment="1" applyProtection="1">
      <alignment horizontal="right" vertical="center"/>
      <protection hidden="1"/>
    </xf>
    <xf numFmtId="170" fontId="5" fillId="4" borderId="3" xfId="0" applyNumberFormat="1" applyFont="1" applyFill="1" applyBorder="1" applyAlignment="1" applyProtection="1">
      <alignment horizontal="right" vertical="center"/>
      <protection hidden="1"/>
    </xf>
    <xf numFmtId="0" fontId="24" fillId="0" borderId="15" xfId="0" applyFont="1" applyFill="1" applyBorder="1" applyAlignment="1">
      <alignment horizontal="left" vertical="center"/>
    </xf>
    <xf numFmtId="0" fontId="24" fillId="0" borderId="16" xfId="0" applyFont="1" applyFill="1" applyBorder="1" applyAlignment="1">
      <alignment vertical="center"/>
    </xf>
    <xf numFmtId="39" fontId="8" fillId="5" borderId="0" xfId="0" applyNumberFormat="1" applyFont="1" applyFill="1" applyAlignment="1" applyProtection="1">
      <alignment horizontal="right" vertical="center"/>
      <protection hidden="1"/>
    </xf>
    <xf numFmtId="170" fontId="6" fillId="5" borderId="1" xfId="0" applyNumberFormat="1" applyFont="1" applyFill="1" applyBorder="1" applyAlignment="1" applyProtection="1">
      <alignment horizontal="right" vertical="center"/>
      <protection hidden="1"/>
    </xf>
    <xf numFmtId="39" fontId="24" fillId="7" borderId="0" xfId="0" applyNumberFormat="1" applyFont="1" applyFill="1" applyAlignment="1" applyProtection="1">
      <alignment horizontal="right" vertical="center"/>
      <protection hidden="1"/>
    </xf>
    <xf numFmtId="170" fontId="26" fillId="7" borderId="4" xfId="0" applyNumberFormat="1" applyFont="1" applyFill="1" applyBorder="1" applyAlignment="1" applyProtection="1">
      <alignment horizontal="right" vertical="center"/>
      <protection hidden="1"/>
    </xf>
    <xf numFmtId="170" fontId="5" fillId="5" borderId="4" xfId="0" applyNumberFormat="1" applyFont="1" applyFill="1" applyBorder="1" applyAlignment="1" applyProtection="1">
      <alignment horizontal="right" vertical="center"/>
      <protection hidden="1"/>
    </xf>
    <xf numFmtId="39" fontId="6" fillId="5" borderId="1" xfId="0" applyNumberFormat="1" applyFont="1" applyFill="1" applyBorder="1" applyAlignment="1" applyProtection="1">
      <alignment horizontal="right" vertical="center"/>
      <protection hidden="1"/>
    </xf>
    <xf numFmtId="39" fontId="6" fillId="5" borderId="0" xfId="0" applyNumberFormat="1" applyFont="1" applyFill="1" applyBorder="1" applyAlignment="1" applyProtection="1">
      <alignment horizontal="right" vertical="center"/>
      <protection hidden="1"/>
    </xf>
    <xf numFmtId="39" fontId="25" fillId="7" borderId="0" xfId="0" applyNumberFormat="1" applyFont="1" applyFill="1" applyAlignment="1">
      <alignment vertical="center"/>
    </xf>
    <xf numFmtId="39" fontId="25" fillId="7" borderId="1" xfId="0" applyNumberFormat="1" applyFont="1" applyFill="1" applyBorder="1" applyAlignment="1" applyProtection="1">
      <alignment horizontal="right" vertical="center"/>
      <protection hidden="1"/>
    </xf>
    <xf numFmtId="39" fontId="25" fillId="7" borderId="0" xfId="0" applyNumberFormat="1" applyFont="1" applyFill="1" applyBorder="1" applyAlignment="1" applyProtection="1">
      <alignment horizontal="right" vertical="center"/>
      <protection hidden="1"/>
    </xf>
    <xf numFmtId="39" fontId="26" fillId="7" borderId="4" xfId="0" applyNumberFormat="1" applyFont="1" applyFill="1" applyBorder="1" applyAlignment="1" applyProtection="1">
      <alignment horizontal="right" vertical="center"/>
      <protection hidden="1"/>
    </xf>
    <xf numFmtId="170" fontId="5" fillId="5" borderId="3" xfId="0" applyNumberFormat="1" applyFont="1" applyFill="1" applyBorder="1" applyAlignment="1" applyProtection="1">
      <alignment horizontal="right" vertical="center"/>
      <protection hidden="1"/>
    </xf>
    <xf numFmtId="39" fontId="8" fillId="5" borderId="0" xfId="0" applyNumberFormat="1" applyFont="1" applyFill="1" applyAlignment="1">
      <alignment vertical="center"/>
    </xf>
    <xf numFmtId="39" fontId="6" fillId="5" borderId="0" xfId="0" applyNumberFormat="1" applyFont="1" applyFill="1" applyAlignment="1">
      <alignment vertical="center"/>
    </xf>
    <xf numFmtId="39" fontId="5" fillId="5" borderId="4" xfId="0" applyNumberFormat="1" applyFont="1" applyFill="1" applyBorder="1" applyAlignment="1" applyProtection="1">
      <alignment horizontal="right" vertical="center"/>
      <protection hidden="1"/>
    </xf>
    <xf numFmtId="39" fontId="5" fillId="9" borderId="0" xfId="0" applyNumberFormat="1" applyFont="1" applyFill="1" applyAlignment="1">
      <alignment vertical="center"/>
    </xf>
    <xf numFmtId="164" fontId="6" fillId="5" borderId="1" xfId="33" applyFont="1" applyFill="1" applyBorder="1" applyAlignment="1" applyProtection="1">
      <alignment horizontal="right" vertical="center"/>
      <protection hidden="1"/>
    </xf>
    <xf numFmtId="164" fontId="26" fillId="7" borderId="4" xfId="33" applyFont="1" applyFill="1" applyBorder="1" applyAlignment="1" applyProtection="1">
      <alignment horizontal="right" vertical="center"/>
      <protection hidden="1"/>
    </xf>
    <xf numFmtId="164" fontId="5" fillId="5" borderId="3" xfId="33" applyFont="1" applyFill="1" applyBorder="1" applyAlignment="1" applyProtection="1">
      <alignment horizontal="right" vertical="center"/>
      <protection hidden="1"/>
    </xf>
    <xf numFmtId="0" fontId="8" fillId="0" borderId="0" xfId="0" applyFont="1" applyFill="1" applyAlignment="1" applyProtection="1">
      <alignment horizontal="left" vertical="center"/>
      <protection locked="0"/>
    </xf>
    <xf numFmtId="0" fontId="8" fillId="4" borderId="0" xfId="0" applyFont="1" applyFill="1"/>
    <xf numFmtId="0" fontId="24" fillId="7" borderId="0" xfId="0" applyFont="1" applyFill="1"/>
    <xf numFmtId="0" fontId="24" fillId="7" borderId="0" xfId="0" applyFont="1" applyFill="1" applyAlignment="1">
      <alignment horizontal="left" indent="2"/>
    </xf>
    <xf numFmtId="37" fontId="24" fillId="8" borderId="0" xfId="0" applyNumberFormat="1" applyFont="1" applyFill="1" applyAlignment="1" applyProtection="1">
      <alignment horizontal="right" vertical="center"/>
      <protection locked="0" hidden="1"/>
    </xf>
    <xf numFmtId="0" fontId="8" fillId="0" borderId="0" xfId="0" applyFont="1" applyFill="1" applyAlignment="1" applyProtection="1">
      <alignment horizontal="left" vertical="center" shrinkToFit="1"/>
      <protection locked="0"/>
    </xf>
    <xf numFmtId="39" fontId="24" fillId="8" borderId="0" xfId="0" applyNumberFormat="1" applyFont="1" applyFill="1" applyAlignment="1" applyProtection="1">
      <alignment horizontal="right" vertical="center"/>
      <protection locked="0" hidden="1"/>
    </xf>
    <xf numFmtId="170" fontId="25" fillId="7" borderId="1" xfId="0" applyNumberFormat="1" applyFont="1" applyFill="1" applyBorder="1" applyAlignment="1" applyProtection="1">
      <alignment horizontal="right" vertical="center"/>
      <protection hidden="1"/>
    </xf>
    <xf numFmtId="0" fontId="8" fillId="10" borderId="0" xfId="0" applyFont="1" applyFill="1" applyAlignment="1" applyProtection="1">
      <alignment horizontal="center" vertical="center"/>
      <protection locked="0"/>
    </xf>
    <xf numFmtId="0" fontId="28" fillId="0" borderId="0" xfId="0" applyFont="1" applyFill="1" applyAlignment="1" applyProtection="1">
      <alignment horizontal="center" vertical="center"/>
      <protection locked="0"/>
    </xf>
    <xf numFmtId="1" fontId="28" fillId="0" borderId="0" xfId="0" applyNumberFormat="1" applyFont="1" applyFill="1" applyAlignment="1" applyProtection="1">
      <alignment horizontal="center" vertical="center"/>
      <protection locked="0"/>
    </xf>
    <xf numFmtId="166" fontId="28" fillId="0" borderId="0" xfId="0" applyNumberFormat="1" applyFont="1" applyFill="1" applyAlignment="1" applyProtection="1">
      <alignment horizontal="center" vertical="center"/>
      <protection locked="0"/>
    </xf>
    <xf numFmtId="166" fontId="28" fillId="0" borderId="0" xfId="0" applyNumberFormat="1" applyFont="1" applyFill="1" applyAlignment="1" applyProtection="1">
      <alignment horizontal="center" vertical="center"/>
    </xf>
    <xf numFmtId="0" fontId="28" fillId="0" borderId="0" xfId="0" applyFont="1" applyFill="1" applyAlignment="1" applyProtection="1">
      <alignment horizontal="left" vertical="center"/>
      <protection locked="0"/>
    </xf>
    <xf numFmtId="0" fontId="28" fillId="0" borderId="0" xfId="0" applyFont="1" applyFill="1" applyAlignment="1" applyProtection="1">
      <alignment horizontal="left" vertical="center"/>
    </xf>
    <xf numFmtId="168" fontId="28" fillId="0" borderId="0" xfId="0" applyNumberFormat="1" applyFont="1" applyFill="1" applyAlignment="1" applyProtection="1">
      <alignment horizontal="right" vertical="center"/>
      <protection locked="0"/>
    </xf>
    <xf numFmtId="0" fontId="28" fillId="0" borderId="0" xfId="0" applyFont="1" applyFill="1" applyAlignment="1" applyProtection="1">
      <alignment horizontal="left" vertical="center" shrinkToFit="1"/>
      <protection locked="0"/>
    </xf>
    <xf numFmtId="165" fontId="28" fillId="2" borderId="0" xfId="0" applyNumberFormat="1" applyFont="1" applyFill="1" applyBorder="1" applyAlignment="1" applyProtection="1">
      <alignment horizontal="left" vertical="center"/>
      <protection locked="0"/>
    </xf>
    <xf numFmtId="0" fontId="28" fillId="2" borderId="0" xfId="0" applyFont="1" applyFill="1" applyAlignment="1" applyProtection="1">
      <alignment horizontal="left" vertical="center"/>
    </xf>
    <xf numFmtId="0" fontId="24" fillId="7" borderId="0" xfId="0" quotePrefix="1" applyFont="1" applyFill="1" applyAlignment="1" applyProtection="1">
      <alignment horizontal="left" vertical="center" indent="2"/>
      <protection hidden="1"/>
    </xf>
    <xf numFmtId="0" fontId="8" fillId="5" borderId="17" xfId="0" applyFont="1" applyFill="1" applyBorder="1"/>
    <xf numFmtId="0" fontId="6" fillId="5" borderId="17" xfId="0" applyFont="1" applyFill="1" applyBorder="1" applyAlignment="1">
      <alignment horizontal="center"/>
    </xf>
    <xf numFmtId="0" fontId="4" fillId="9" borderId="17" xfId="0" applyFont="1" applyFill="1" applyBorder="1"/>
    <xf numFmtId="0" fontId="8" fillId="4" borderId="0" xfId="0" applyFont="1" applyFill="1" applyBorder="1"/>
    <xf numFmtId="0" fontId="8" fillId="5" borderId="0" xfId="0" applyFont="1" applyFill="1" applyBorder="1"/>
    <xf numFmtId="0" fontId="9" fillId="4" borderId="0" xfId="0" applyFont="1" applyFill="1" applyAlignment="1">
      <alignment horizontal="center"/>
    </xf>
    <xf numFmtId="164" fontId="6" fillId="4" borderId="1" xfId="33" applyFont="1" applyFill="1" applyBorder="1"/>
    <xf numFmtId="164" fontId="25" fillId="7" borderId="1" xfId="33" applyFont="1" applyFill="1" applyBorder="1" applyAlignment="1" applyProtection="1">
      <alignment horizontal="right" vertical="center"/>
      <protection hidden="1"/>
    </xf>
    <xf numFmtId="44" fontId="6" fillId="4" borderId="4" xfId="0" applyNumberFormat="1" applyFont="1" applyFill="1" applyBorder="1"/>
    <xf numFmtId="171" fontId="6" fillId="4" borderId="4" xfId="0" applyNumberFormat="1" applyFont="1" applyFill="1" applyBorder="1"/>
    <xf numFmtId="0" fontId="8" fillId="9" borderId="0" xfId="0" applyFont="1" applyFill="1"/>
    <xf numFmtId="171" fontId="8" fillId="4" borderId="3" xfId="0" applyNumberFormat="1" applyFont="1" applyFill="1" applyBorder="1"/>
    <xf numFmtId="164" fontId="6" fillId="5" borderId="1" xfId="33" applyFont="1" applyFill="1" applyBorder="1"/>
    <xf numFmtId="0" fontId="8" fillId="4" borderId="17" xfId="0" applyFont="1" applyFill="1" applyBorder="1"/>
    <xf numFmtId="0" fontId="8" fillId="4" borderId="17" xfId="0" applyFont="1" applyFill="1" applyBorder="1" applyAlignment="1">
      <alignment vertical="center"/>
    </xf>
    <xf numFmtId="164" fontId="6" fillId="5" borderId="18" xfId="33" applyFont="1" applyFill="1" applyBorder="1"/>
    <xf numFmtId="164" fontId="6" fillId="4" borderId="17" xfId="33" applyFont="1" applyFill="1" applyBorder="1"/>
    <xf numFmtId="164" fontId="6" fillId="4" borderId="0" xfId="33" applyFont="1" applyFill="1"/>
    <xf numFmtId="0" fontId="6" fillId="5" borderId="0" xfId="0" applyFont="1" applyFill="1"/>
    <xf numFmtId="164" fontId="6" fillId="5" borderId="0" xfId="33" applyFont="1" applyFill="1"/>
    <xf numFmtId="164" fontId="6" fillId="4" borderId="18" xfId="33" applyFont="1" applyFill="1" applyBorder="1" applyAlignment="1">
      <alignment vertical="center"/>
    </xf>
    <xf numFmtId="164" fontId="6" fillId="4" borderId="1" xfId="33" applyFont="1" applyFill="1" applyBorder="1" applyAlignment="1">
      <alignment vertical="center"/>
    </xf>
    <xf numFmtId="44" fontId="6" fillId="4" borderId="4" xfId="0" applyNumberFormat="1" applyFont="1" applyFill="1" applyBorder="1" applyAlignment="1">
      <alignment vertical="center"/>
    </xf>
    <xf numFmtId="44" fontId="6" fillId="5" borderId="4" xfId="0" applyNumberFormat="1" applyFont="1" applyFill="1" applyBorder="1"/>
    <xf numFmtId="44" fontId="6" fillId="4" borderId="19" xfId="0" applyNumberFormat="1" applyFont="1" applyFill="1" applyBorder="1" applyAlignment="1">
      <alignment vertical="center"/>
    </xf>
    <xf numFmtId="0" fontId="8" fillId="9" borderId="17" xfId="0" applyFont="1" applyFill="1" applyBorder="1" applyAlignment="1">
      <alignment vertical="center"/>
    </xf>
    <xf numFmtId="164" fontId="6" fillId="5" borderId="19" xfId="33" applyFont="1" applyFill="1" applyBorder="1"/>
    <xf numFmtId="164" fontId="6" fillId="5" borderId="4" xfId="33" applyFont="1" applyFill="1" applyBorder="1"/>
    <xf numFmtId="171" fontId="6" fillId="5" borderId="20" xfId="0" applyNumberFormat="1" applyFont="1" applyFill="1" applyBorder="1"/>
    <xf numFmtId="171" fontId="6" fillId="5" borderId="3" xfId="0" applyNumberFormat="1" applyFont="1" applyFill="1" applyBorder="1"/>
    <xf numFmtId="0" fontId="8" fillId="11" borderId="0" xfId="0" applyFont="1" applyFill="1" applyAlignment="1" applyProtection="1">
      <alignment horizontal="left" vertical="center"/>
      <protection locked="0"/>
    </xf>
    <xf numFmtId="14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9" fillId="4" borderId="0" xfId="0" applyFont="1" applyFill="1" applyAlignment="1">
      <alignment horizontal="right"/>
    </xf>
    <xf numFmtId="164" fontId="6" fillId="4" borderId="0" xfId="33" applyFont="1" applyFill="1" applyBorder="1"/>
    <xf numFmtId="0" fontId="29" fillId="12" borderId="0" xfId="0" applyFont="1" applyFill="1" applyAlignment="1">
      <alignment horizontal="left" vertical="center" indent="2"/>
    </xf>
    <xf numFmtId="0" fontId="24" fillId="12" borderId="0" xfId="0" applyFont="1" applyFill="1" applyAlignment="1">
      <alignment horizontal="left" indent="2"/>
    </xf>
    <xf numFmtId="1" fontId="30" fillId="0" borderId="0" xfId="0" applyNumberFormat="1" applyFont="1" applyFill="1" applyAlignment="1" applyProtection="1">
      <alignment horizontal="center" vertical="center"/>
      <protection locked="0"/>
    </xf>
    <xf numFmtId="166" fontId="30" fillId="0" borderId="0" xfId="0" applyNumberFormat="1" applyFont="1" applyFill="1" applyAlignment="1" applyProtection="1">
      <alignment horizontal="center" vertical="center"/>
      <protection locked="0"/>
    </xf>
    <xf numFmtId="166" fontId="30" fillId="0" borderId="0" xfId="0" applyNumberFormat="1" applyFont="1" applyFill="1" applyAlignment="1" applyProtection="1">
      <alignment horizontal="center" vertical="center"/>
    </xf>
    <xf numFmtId="0" fontId="30" fillId="0" borderId="0" xfId="0" applyFont="1" applyFill="1" applyAlignment="1" applyProtection="1">
      <alignment horizontal="left" vertical="center"/>
      <protection locked="0"/>
    </xf>
    <xf numFmtId="0" fontId="30" fillId="0" borderId="0" xfId="0" applyFont="1" applyFill="1" applyAlignment="1" applyProtection="1">
      <alignment horizontal="left" vertical="center"/>
    </xf>
    <xf numFmtId="0" fontId="30" fillId="0" borderId="0" xfId="0" applyFont="1" applyFill="1" applyAlignment="1" applyProtection="1">
      <alignment horizontal="center" vertical="center"/>
      <protection locked="0"/>
    </xf>
    <xf numFmtId="168" fontId="30" fillId="0" borderId="0" xfId="0" applyNumberFormat="1" applyFont="1" applyFill="1" applyAlignment="1" applyProtection="1">
      <alignment horizontal="right" vertical="center"/>
      <protection locked="0"/>
    </xf>
    <xf numFmtId="0" fontId="30" fillId="0" borderId="0" xfId="0" applyFont="1" applyFill="1" applyAlignment="1" applyProtection="1">
      <alignment horizontal="left" vertical="center" shrinkToFit="1"/>
      <protection locked="0"/>
    </xf>
    <xf numFmtId="0" fontId="8" fillId="0" borderId="0" xfId="0" applyFont="1" applyFill="1" applyAlignment="1" applyProtection="1">
      <alignment vertical="center" shrinkToFit="1"/>
      <protection locked="0"/>
    </xf>
    <xf numFmtId="165" fontId="8" fillId="0" borderId="0" xfId="0" applyNumberFormat="1" applyFont="1" applyFill="1" applyBorder="1" applyAlignment="1" applyProtection="1">
      <alignment horizontal="left" vertical="center"/>
      <protection locked="0"/>
    </xf>
    <xf numFmtId="17" fontId="30" fillId="0" borderId="0" xfId="0" applyNumberFormat="1" applyFont="1" applyFill="1" applyAlignment="1" applyProtection="1">
      <alignment horizontal="left" vertical="center"/>
      <protection locked="0"/>
    </xf>
    <xf numFmtId="0" fontId="8" fillId="0" borderId="0" xfId="0" applyFont="1" applyFill="1" applyAlignment="1" applyProtection="1">
      <alignment horizontal="right" vertical="center"/>
      <protection locked="0"/>
    </xf>
    <xf numFmtId="0" fontId="12" fillId="2" borderId="0" xfId="0" applyFont="1" applyFill="1"/>
    <xf numFmtId="0" fontId="8" fillId="2" borderId="0" xfId="0" applyFont="1" applyFill="1" applyAlignment="1" applyProtection="1">
      <alignment horizontal="left" vertical="center"/>
      <protection locked="0"/>
    </xf>
    <xf numFmtId="0" fontId="12" fillId="4" borderId="0" xfId="0" applyNumberFormat="1" applyFont="1" applyFill="1" applyAlignment="1" applyProtection="1">
      <alignment horizontal="justify" vertical="center" wrapText="1"/>
    </xf>
    <xf numFmtId="0" fontId="8" fillId="2" borderId="0" xfId="0" applyFont="1" applyFill="1" applyAlignment="1" applyProtection="1">
      <alignment horizontal="left" vertical="center"/>
      <protection locked="0"/>
    </xf>
    <xf numFmtId="0" fontId="17" fillId="4" borderId="1" xfId="0" applyFont="1" applyFill="1" applyBorder="1" applyAlignment="1" applyProtection="1">
      <alignment horizontal="right" vertical="center"/>
    </xf>
    <xf numFmtId="0" fontId="19" fillId="4" borderId="0" xfId="0" applyFont="1" applyFill="1" applyAlignment="1" applyProtection="1">
      <alignment horizontal="left" vertical="center"/>
    </xf>
    <xf numFmtId="0" fontId="13" fillId="4" borderId="0" xfId="0" applyFont="1" applyFill="1" applyAlignment="1" applyProtection="1">
      <alignment horizontal="left" vertical="center" wrapText="1"/>
    </xf>
    <xf numFmtId="0" fontId="14" fillId="4" borderId="0" xfId="0" applyFont="1" applyFill="1" applyAlignment="1" applyProtection="1">
      <alignment horizontal="left" vertical="center"/>
    </xf>
    <xf numFmtId="0" fontId="12" fillId="4" borderId="0" xfId="0" applyNumberFormat="1" applyFont="1" applyFill="1" applyAlignment="1" applyProtection="1">
      <alignment horizontal="left" vertical="center" wrapText="1"/>
    </xf>
    <xf numFmtId="0" fontId="16" fillId="4" borderId="0" xfId="0" applyFont="1" applyFill="1" applyAlignment="1" applyProtection="1">
      <alignment horizontal="left" vertical="center"/>
    </xf>
    <xf numFmtId="0" fontId="9" fillId="4" borderId="0" xfId="0" applyFont="1" applyFill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left" vertical="center"/>
    </xf>
    <xf numFmtId="0" fontId="15" fillId="4" borderId="0" xfId="0" applyFont="1" applyFill="1" applyAlignment="1" applyProtection="1">
      <alignment horizontal="left" vertical="center"/>
    </xf>
    <xf numFmtId="0" fontId="9" fillId="2" borderId="0" xfId="0" applyFont="1" applyFill="1" applyAlignment="1">
      <alignment horizontal="center"/>
    </xf>
    <xf numFmtId="0" fontId="9" fillId="2" borderId="0" xfId="0" applyNumberFormat="1" applyFont="1" applyFill="1" applyBorder="1" applyAlignment="1" applyProtection="1">
      <alignment horizontal="center" vertical="center" wrapText="1"/>
      <protection locked="0" hidden="1"/>
    </xf>
  </cellXfs>
  <cellStyles count="78">
    <cellStyle name="Currency" xfId="33" builtinId="4"/>
    <cellStyle name="Followed Hyperlink" xfId="2" builtinId="9" hidden="1"/>
    <cellStyle name="Followed Hyperlink" xfId="77" builtinId="9" hidden="1"/>
    <cellStyle name="Followed Hyperlink" xfId="45" builtinId="9" hidden="1"/>
    <cellStyle name="Followed Hyperlink" xfId="53" builtinId="9" hidden="1"/>
    <cellStyle name="Followed Hyperlink" xfId="20" builtinId="9" hidden="1"/>
    <cellStyle name="Followed Hyperlink" xfId="49" builtinId="9" hidden="1"/>
    <cellStyle name="Followed Hyperlink" xfId="57" builtinId="9" hidden="1"/>
    <cellStyle name="Followed Hyperlink" xfId="65" builtinId="9" hidden="1"/>
    <cellStyle name="Followed Hyperlink" xfId="4" builtinId="9" hidden="1"/>
    <cellStyle name="Followed Hyperlink" xfId="47" builtinId="9" hidden="1"/>
    <cellStyle name="Followed Hyperlink" xfId="55" builtinId="9" hidden="1"/>
    <cellStyle name="Followed Hyperlink" xfId="63" builtinId="9" hidden="1"/>
    <cellStyle name="Followed Hyperlink" xfId="32" builtinId="9" hidden="1"/>
    <cellStyle name="Followed Hyperlink" xfId="59" builtinId="9" hidden="1"/>
    <cellStyle name="Followed Hyperlink" xfId="67" builtinId="9" hidden="1"/>
    <cellStyle name="Followed Hyperlink" xfId="18" builtinId="9" hidden="1"/>
    <cellStyle name="Followed Hyperlink" xfId="61" builtinId="9" hidden="1"/>
    <cellStyle name="Followed Hyperlink" xfId="39" builtinId="9" hidden="1"/>
    <cellStyle name="Followed Hyperlink" xfId="41" builtinId="9" hidden="1"/>
    <cellStyle name="Followed Hyperlink" xfId="37" builtinId="9" hidden="1"/>
    <cellStyle name="Followed Hyperlink" xfId="12" builtinId="9" hidden="1"/>
    <cellStyle name="Followed Hyperlink" xfId="10" builtinId="9" hidden="1"/>
    <cellStyle name="Followed Hyperlink" xfId="51" builtinId="9" hidden="1"/>
    <cellStyle name="Followed Hyperlink" xfId="71" builtinId="9" hidden="1"/>
    <cellStyle name="Followed Hyperlink" xfId="75" builtinId="9" hidden="1"/>
    <cellStyle name="Followed Hyperlink" xfId="6" builtinId="9" hidden="1"/>
    <cellStyle name="Followed Hyperlink" xfId="14" builtinId="9" hidden="1"/>
    <cellStyle name="Followed Hyperlink" xfId="69" builtinId="9" hidden="1"/>
    <cellStyle name="Followed Hyperlink" xfId="16" builtinId="9" hidden="1"/>
    <cellStyle name="Followed Hyperlink" xfId="73" builtinId="9" hidden="1"/>
    <cellStyle name="Followed Hyperlink" xfId="35" builtinId="9" hidden="1"/>
    <cellStyle name="Followed Hyperlink" xfId="28" builtinId="9" hidden="1"/>
    <cellStyle name="Followed Hyperlink" xfId="24" builtinId="9" hidden="1"/>
    <cellStyle name="Followed Hyperlink" xfId="8" builtinId="9" hidden="1"/>
    <cellStyle name="Followed Hyperlink" xfId="26" builtinId="9" hidden="1"/>
    <cellStyle name="Followed Hyperlink" xfId="43" builtinId="9" hidden="1"/>
    <cellStyle name="Followed Hyperlink" xfId="22" builtinId="9" hidden="1"/>
    <cellStyle name="Followed Hyperlink" xfId="30" builtinId="9" hidden="1"/>
    <cellStyle name="Hyperlink" xfId="60" builtinId="8" hidden="1"/>
    <cellStyle name="Hyperlink" xfId="62" builtinId="8" hidden="1"/>
    <cellStyle name="Hyperlink" xfId="25" builtinId="8" hidden="1"/>
    <cellStyle name="Hyperlink" xfId="46" builtinId="8" hidden="1"/>
    <cellStyle name="Hyperlink" xfId="23" builtinId="8" hidden="1"/>
    <cellStyle name="Hyperlink" xfId="38" builtinId="8" hidden="1"/>
    <cellStyle name="Hyperlink" xfId="1" builtinId="8" hidden="1"/>
    <cellStyle name="Hyperlink" xfId="19" builtinId="8" hidden="1"/>
    <cellStyle name="Hyperlink" xfId="21" builtinId="8" hidden="1"/>
    <cellStyle name="Hyperlink" xfId="52" builtinId="8" hidden="1"/>
    <cellStyle name="Hyperlink" xfId="5" builtinId="8" hidden="1"/>
    <cellStyle name="Hyperlink" xfId="29" builtinId="8" hidden="1"/>
    <cellStyle name="Hyperlink" xfId="50" builtinId="8" hidden="1"/>
    <cellStyle name="Hyperlink" xfId="34" builtinId="8" hidden="1"/>
    <cellStyle name="Hyperlink" xfId="11" builtinId="8" hidden="1"/>
    <cellStyle name="Hyperlink" xfId="68" builtinId="8" hidden="1"/>
    <cellStyle name="Hyperlink" xfId="7" builtinId="8" hidden="1"/>
    <cellStyle name="Hyperlink" xfId="42" builtinId="8" hidden="1"/>
    <cellStyle name="Hyperlink" xfId="76" builtinId="8" hidden="1"/>
    <cellStyle name="Hyperlink" xfId="64" builtinId="8" hidden="1"/>
    <cellStyle name="Hyperlink" xfId="15" builtinId="8" hidden="1"/>
    <cellStyle name="Hyperlink" xfId="58" builtinId="8" hidden="1"/>
    <cellStyle name="Hyperlink" xfId="36" builtinId="8" hidden="1"/>
    <cellStyle name="Hyperlink" xfId="3" builtinId="8" hidden="1"/>
    <cellStyle name="Hyperlink" xfId="27" builtinId="8" hidden="1"/>
    <cellStyle name="Hyperlink" xfId="66" builtinId="8" hidden="1"/>
    <cellStyle name="Hyperlink" xfId="56" builtinId="8" hidden="1"/>
    <cellStyle name="Hyperlink" xfId="9" builtinId="8" hidden="1"/>
    <cellStyle name="Hyperlink" xfId="72" builtinId="8" hidden="1"/>
    <cellStyle name="Hyperlink" xfId="40" builtinId="8" hidden="1"/>
    <cellStyle name="Hyperlink" xfId="13" builtinId="8" hidden="1"/>
    <cellStyle name="Hyperlink" xfId="17" builtinId="8" hidden="1"/>
    <cellStyle name="Hyperlink" xfId="31" builtinId="8" hidden="1"/>
    <cellStyle name="Hyperlink" xfId="44" builtinId="8" hidden="1"/>
    <cellStyle name="Hyperlink" xfId="74" builtinId="8" hidden="1"/>
    <cellStyle name="Hyperlink" xfId="54" builtinId="8" hidden="1"/>
    <cellStyle name="Hyperlink" xfId="70" builtinId="8" hidden="1"/>
    <cellStyle name="Hyperlink" xfId="48" builtinId="8" hidden="1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8" formatCode="#,##0.00\ [$$-C0C]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yyyy/mm/dd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yyyy/mm/dd;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border outline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wrapText="0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vertical="center" textRotation="0" wrapText="0" justifyLastLine="0" shrinkToFit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wrapText="0" justifyLastLine="0" shrinkToFit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wrapText="0" justifyLastLine="0" shrinkToFit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vertical="center" textRotation="0" wrapText="0" justifyLastLine="0" shrinkToFit="0"/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leau3" displayName="Tableau3" ref="A4:D77" totalsRowShown="0" headerRowDxfId="17" dataDxfId="16">
  <autoFilter ref="A4:D77"/>
  <sortState ref="A2:E46">
    <sortCondition ref="A1:A46"/>
  </sortState>
  <tableColumns count="4">
    <tableColumn id="1" name="Numéro" dataDxfId="15"/>
    <tableColumn id="2" name="Nom" dataDxfId="14"/>
    <tableColumn id="7" name="Numéro + Nom de compte" dataDxfId="13">
      <calculatedColumnFormula>CONCATENATE(Tableau3[[#This Row],[Numéro]]," - ",Tableau3[[#This Row],[Nom]])</calculatedColumnFormula>
    </tableColumn>
    <tableColumn id="5" name="Type" dataDxfId="12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id="1" name="Journal" displayName="Journal" ref="A4:J604" totalsRowShown="0" headerRowDxfId="11" tableBorderDxfId="10">
  <autoFilter ref="A4:J604"/>
  <tableColumns count="10">
    <tableColumn id="1" name="NO" dataDxfId="9"/>
    <tableColumn id="2" name="DATE DE LA TRANSACTION (aaaa-mm/jj)" dataDxfId="8"/>
    <tableColumn id="3" name="ANNÉE FINANCIÈRE_x000a_(cellule automatique)" dataDxfId="7">
      <calculatedColumnFormula>LOOKUP(B5,'HIDDEN DATA'!$A:$B,'HIDDEN DATA'!$C:$C)</calculatedColumnFormula>
    </tableColumn>
    <tableColumn id="5" name="COMPTE COMPTABLE" dataDxfId="6"/>
    <tableColumn id="4" name="PRODUIT OU CHARGE_x000a_(cellule automatique)" dataDxfId="5">
      <calculatedColumnFormula>VLOOKUP(D5,'PLAN COMPTABLE'!$C:$D,2,0)</calculatedColumnFormula>
    </tableColumn>
    <tableColumn id="6" name="TYPE DE TRANSACTION" dataDxfId="4"/>
    <tableColumn id="7" name="NUMÉRO DU CHÈQUE" dataDxfId="3"/>
    <tableColumn id="8" name="STATUT DE LA TRANSACTION" dataDxfId="2"/>
    <tableColumn id="9" name="MONTANT" dataDxfId="1"/>
    <tableColumn id="10" name="DESCRIPTION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E73"/>
  <sheetViews>
    <sheetView zoomScale="132" zoomScaleNormal="180" workbookViewId="0">
      <selection activeCell="C67" sqref="C67:D67"/>
    </sheetView>
  </sheetViews>
  <sheetFormatPr defaultColWidth="10.83203125" defaultRowHeight="12.5" x14ac:dyDescent="0.35"/>
  <cols>
    <col min="1" max="2" width="1.5" style="59" customWidth="1"/>
    <col min="3" max="3" width="14.08203125" style="59" customWidth="1"/>
    <col min="4" max="4" width="77.75" style="59" customWidth="1"/>
    <col min="5" max="6" width="1.5" style="59" customWidth="1"/>
    <col min="7" max="16384" width="10.83203125" style="59"/>
  </cols>
  <sheetData>
    <row r="1" spans="2:5" ht="6" customHeight="1" thickBot="1" x14ac:dyDescent="0.4"/>
    <row r="2" spans="2:5" ht="6" customHeight="1" x14ac:dyDescent="0.35">
      <c r="B2" s="60"/>
      <c r="C2" s="61"/>
      <c r="D2" s="61"/>
      <c r="E2" s="62"/>
    </row>
    <row r="3" spans="2:5" ht="18" x14ac:dyDescent="0.35">
      <c r="B3" s="63"/>
      <c r="C3" s="64" t="s">
        <v>0</v>
      </c>
      <c r="D3" s="76" t="s">
        <v>1</v>
      </c>
      <c r="E3" s="65"/>
    </row>
    <row r="4" spans="2:5" ht="6" customHeight="1" x14ac:dyDescent="0.35">
      <c r="B4" s="63"/>
      <c r="C4" s="64"/>
      <c r="D4" s="64"/>
      <c r="E4" s="65"/>
    </row>
    <row r="5" spans="2:5" x14ac:dyDescent="0.35">
      <c r="B5" s="63"/>
      <c r="C5" s="64" t="s">
        <v>2</v>
      </c>
      <c r="D5" s="66" t="s">
        <v>3</v>
      </c>
      <c r="E5" s="65"/>
    </row>
    <row r="6" spans="2:5" ht="6" customHeight="1" x14ac:dyDescent="0.35">
      <c r="B6" s="63"/>
      <c r="C6" s="64"/>
      <c r="D6" s="64"/>
      <c r="E6" s="65"/>
    </row>
    <row r="7" spans="2:5" x14ac:dyDescent="0.35">
      <c r="B7" s="63"/>
      <c r="C7" s="64" t="s">
        <v>4</v>
      </c>
      <c r="D7" s="66"/>
      <c r="E7" s="65"/>
    </row>
    <row r="8" spans="2:5" x14ac:dyDescent="0.35">
      <c r="B8" s="63"/>
      <c r="C8" s="64"/>
      <c r="D8" s="66"/>
      <c r="E8" s="65"/>
    </row>
    <row r="9" spans="2:5" x14ac:dyDescent="0.35">
      <c r="B9" s="63"/>
      <c r="C9" s="64" t="s">
        <v>5</v>
      </c>
      <c r="D9" s="66"/>
      <c r="E9" s="65"/>
    </row>
    <row r="10" spans="2:5" ht="6" customHeight="1" x14ac:dyDescent="0.35">
      <c r="B10" s="63"/>
      <c r="C10" s="64"/>
      <c r="D10" s="64"/>
      <c r="E10" s="65"/>
    </row>
    <row r="11" spans="2:5" x14ac:dyDescent="0.35">
      <c r="B11" s="63"/>
      <c r="C11" s="64" t="s">
        <v>6</v>
      </c>
      <c r="D11" s="66" t="s">
        <v>7</v>
      </c>
      <c r="E11" s="65"/>
    </row>
    <row r="12" spans="2:5" ht="6" customHeight="1" thickBot="1" x14ac:dyDescent="0.4">
      <c r="B12" s="67"/>
      <c r="C12" s="68"/>
      <c r="D12" s="68"/>
      <c r="E12" s="69"/>
    </row>
    <row r="14" spans="2:5" ht="15.5" x14ac:dyDescent="0.35">
      <c r="B14" s="246" t="s">
        <v>8</v>
      </c>
      <c r="C14" s="246"/>
      <c r="D14" s="246"/>
      <c r="E14" s="246"/>
    </row>
    <row r="15" spans="2:5" ht="14.15" customHeight="1" x14ac:dyDescent="0.35">
      <c r="B15" s="72"/>
      <c r="C15" s="72"/>
      <c r="D15" s="72"/>
      <c r="E15" s="72"/>
    </row>
    <row r="16" spans="2:5" ht="15.5" x14ac:dyDescent="0.35">
      <c r="B16" s="245" t="s">
        <v>9</v>
      </c>
      <c r="C16" s="245"/>
      <c r="D16" s="245"/>
      <c r="E16" s="245"/>
    </row>
    <row r="17" spans="2:5" ht="6" customHeight="1" x14ac:dyDescent="0.35">
      <c r="B17" s="72"/>
      <c r="C17" s="72"/>
      <c r="D17" s="72"/>
      <c r="E17" s="72"/>
    </row>
    <row r="18" spans="2:5" ht="13" customHeight="1" x14ac:dyDescent="0.35">
      <c r="B18" s="73" t="s">
        <v>10</v>
      </c>
      <c r="C18" s="238"/>
      <c r="D18" s="238"/>
      <c r="E18" s="74"/>
    </row>
    <row r="19" spans="2:5" ht="6" customHeight="1" x14ac:dyDescent="0.35">
      <c r="B19" s="72"/>
      <c r="C19" s="72"/>
      <c r="D19" s="72"/>
      <c r="E19" s="72"/>
    </row>
    <row r="20" spans="2:5" ht="13" customHeight="1" x14ac:dyDescent="0.35">
      <c r="B20" s="73" t="s">
        <v>10</v>
      </c>
      <c r="C20" s="244"/>
      <c r="D20" s="244"/>
      <c r="E20" s="74"/>
    </row>
    <row r="21" spans="2:5" ht="6" customHeight="1" x14ac:dyDescent="0.35">
      <c r="B21" s="72"/>
      <c r="C21" s="72"/>
      <c r="D21" s="72"/>
      <c r="E21" s="72"/>
    </row>
    <row r="22" spans="2:5" ht="13" x14ac:dyDescent="0.35">
      <c r="B22" s="241" t="s">
        <v>11</v>
      </c>
      <c r="C22" s="241"/>
      <c r="D22" s="241"/>
      <c r="E22" s="241"/>
    </row>
    <row r="23" spans="2:5" ht="6" customHeight="1" x14ac:dyDescent="0.35">
      <c r="B23" s="72"/>
      <c r="C23" s="72"/>
      <c r="D23" s="72"/>
      <c r="E23" s="72"/>
    </row>
    <row r="24" spans="2:5" x14ac:dyDescent="0.35">
      <c r="B24" s="75">
        <v>4210</v>
      </c>
      <c r="C24" s="239" t="s">
        <v>12</v>
      </c>
      <c r="D24" s="239"/>
    </row>
    <row r="25" spans="2:5" x14ac:dyDescent="0.35">
      <c r="B25" s="75">
        <v>4220</v>
      </c>
      <c r="C25" s="239" t="s">
        <v>13</v>
      </c>
      <c r="D25" s="239"/>
    </row>
    <row r="26" spans="2:5" x14ac:dyDescent="0.35">
      <c r="B26" s="75">
        <v>4230</v>
      </c>
      <c r="C26" s="239" t="s">
        <v>14</v>
      </c>
      <c r="D26" s="239"/>
    </row>
    <row r="27" spans="2:5" x14ac:dyDescent="0.35">
      <c r="B27" s="75">
        <v>4240</v>
      </c>
      <c r="C27" s="239" t="s">
        <v>15</v>
      </c>
      <c r="D27" s="239"/>
    </row>
    <row r="28" spans="2:5" x14ac:dyDescent="0.35">
      <c r="B28" s="75">
        <v>4250</v>
      </c>
      <c r="C28" s="239" t="s">
        <v>16</v>
      </c>
      <c r="D28" s="239"/>
    </row>
    <row r="29" spans="2:5" x14ac:dyDescent="0.35">
      <c r="B29" s="75">
        <v>4260</v>
      </c>
      <c r="C29" s="239" t="s">
        <v>17</v>
      </c>
      <c r="D29" s="239"/>
    </row>
    <row r="30" spans="2:5" x14ac:dyDescent="0.35">
      <c r="B30" s="75">
        <v>4270</v>
      </c>
      <c r="C30" s="239" t="s">
        <v>18</v>
      </c>
      <c r="D30" s="239"/>
    </row>
    <row r="31" spans="2:5" x14ac:dyDescent="0.35">
      <c r="B31" s="75">
        <v>4280</v>
      </c>
      <c r="C31" s="239" t="s">
        <v>19</v>
      </c>
      <c r="D31" s="239"/>
    </row>
    <row r="32" spans="2:5" x14ac:dyDescent="0.35">
      <c r="B32" s="75">
        <v>4290</v>
      </c>
      <c r="C32" s="239" t="s">
        <v>20</v>
      </c>
      <c r="D32" s="239"/>
    </row>
    <row r="33" spans="2:5" x14ac:dyDescent="0.35">
      <c r="B33" s="75">
        <v>4320</v>
      </c>
      <c r="C33" s="239" t="s">
        <v>21</v>
      </c>
      <c r="D33" s="239"/>
    </row>
    <row r="34" spans="2:5" x14ac:dyDescent="0.35">
      <c r="B34" s="75">
        <v>4330</v>
      </c>
      <c r="C34" s="239" t="s">
        <v>22</v>
      </c>
      <c r="D34" s="239"/>
    </row>
    <row r="35" spans="2:5" x14ac:dyDescent="0.35">
      <c r="B35" s="75">
        <v>4340</v>
      </c>
      <c r="C35" s="239" t="s">
        <v>23</v>
      </c>
      <c r="D35" s="239"/>
    </row>
    <row r="36" spans="2:5" ht="14.15" customHeight="1" x14ac:dyDescent="0.35">
      <c r="B36" s="72"/>
      <c r="C36" s="72"/>
      <c r="D36" s="72"/>
      <c r="E36" s="72"/>
    </row>
    <row r="37" spans="2:5" ht="15.5" x14ac:dyDescent="0.35">
      <c r="B37" s="242" t="s">
        <v>24</v>
      </c>
      <c r="C37" s="242"/>
      <c r="D37" s="242"/>
      <c r="E37" s="242"/>
    </row>
    <row r="38" spans="2:5" ht="6" customHeight="1" x14ac:dyDescent="0.35">
      <c r="B38" s="72"/>
      <c r="C38" s="72"/>
      <c r="D38" s="72"/>
      <c r="E38" s="72"/>
    </row>
    <row r="39" spans="2:5" ht="13" customHeight="1" x14ac:dyDescent="0.35">
      <c r="B39" s="73" t="s">
        <v>10</v>
      </c>
      <c r="C39" s="238" t="s">
        <v>25</v>
      </c>
      <c r="D39" s="238"/>
      <c r="E39" s="74"/>
    </row>
    <row r="40" spans="2:5" ht="6" customHeight="1" x14ac:dyDescent="0.35">
      <c r="B40" s="72"/>
      <c r="C40" s="72"/>
      <c r="D40" s="72"/>
      <c r="E40" s="72"/>
    </row>
    <row r="41" spans="2:5" ht="26.15" customHeight="1" x14ac:dyDescent="0.35">
      <c r="B41" s="73" t="s">
        <v>10</v>
      </c>
      <c r="C41" s="238" t="s">
        <v>26</v>
      </c>
      <c r="D41" s="238"/>
      <c r="E41" s="74"/>
    </row>
    <row r="42" spans="2:5" ht="6" customHeight="1" x14ac:dyDescent="0.35">
      <c r="B42" s="72"/>
      <c r="C42" s="72"/>
      <c r="D42" s="72"/>
      <c r="E42" s="72"/>
    </row>
    <row r="43" spans="2:5" ht="13" customHeight="1" x14ac:dyDescent="0.35">
      <c r="B43" s="73" t="s">
        <v>10</v>
      </c>
      <c r="C43" s="238" t="s">
        <v>27</v>
      </c>
      <c r="D43" s="238"/>
      <c r="E43" s="74"/>
    </row>
    <row r="44" spans="2:5" ht="6" customHeight="1" x14ac:dyDescent="0.35">
      <c r="B44" s="72"/>
      <c r="C44" s="72"/>
      <c r="D44" s="72"/>
      <c r="E44" s="72"/>
    </row>
    <row r="45" spans="2:5" ht="13" customHeight="1" x14ac:dyDescent="0.35">
      <c r="B45" s="73" t="s">
        <v>10</v>
      </c>
      <c r="C45" s="238" t="s">
        <v>28</v>
      </c>
      <c r="D45" s="238"/>
      <c r="E45" s="74"/>
    </row>
    <row r="46" spans="2:5" ht="6" customHeight="1" x14ac:dyDescent="0.35">
      <c r="B46" s="72"/>
      <c r="C46" s="72"/>
      <c r="D46" s="72"/>
      <c r="E46" s="72"/>
    </row>
    <row r="47" spans="2:5" ht="26.15" customHeight="1" x14ac:dyDescent="0.35">
      <c r="B47" s="73" t="s">
        <v>10</v>
      </c>
      <c r="C47" s="238" t="s">
        <v>29</v>
      </c>
      <c r="D47" s="238"/>
      <c r="E47" s="74"/>
    </row>
    <row r="48" spans="2:5" ht="6" customHeight="1" x14ac:dyDescent="0.35">
      <c r="B48" s="72"/>
      <c r="C48" s="72"/>
      <c r="D48" s="72"/>
      <c r="E48" s="72"/>
    </row>
    <row r="49" spans="2:5" ht="26.15" customHeight="1" x14ac:dyDescent="0.35">
      <c r="B49" s="73" t="s">
        <v>10</v>
      </c>
      <c r="C49" s="238" t="s">
        <v>30</v>
      </c>
      <c r="D49" s="238"/>
      <c r="E49" s="74"/>
    </row>
    <row r="50" spans="2:5" ht="6" customHeight="1" x14ac:dyDescent="0.35">
      <c r="B50" s="72"/>
      <c r="C50" s="72"/>
      <c r="D50" s="72"/>
      <c r="E50" s="72"/>
    </row>
    <row r="51" spans="2:5" ht="26.15" customHeight="1" x14ac:dyDescent="0.35">
      <c r="B51" s="73" t="s">
        <v>10</v>
      </c>
      <c r="C51" s="238" t="s">
        <v>31</v>
      </c>
      <c r="D51" s="238"/>
      <c r="E51" s="74"/>
    </row>
    <row r="52" spans="2:5" ht="6" customHeight="1" x14ac:dyDescent="0.35">
      <c r="B52" s="72"/>
      <c r="C52" s="72"/>
      <c r="D52" s="72"/>
      <c r="E52" s="72"/>
    </row>
    <row r="53" spans="2:5" ht="13" customHeight="1" x14ac:dyDescent="0.35">
      <c r="B53" s="73" t="s">
        <v>10</v>
      </c>
      <c r="C53" s="238" t="s">
        <v>32</v>
      </c>
      <c r="D53" s="238"/>
      <c r="E53" s="74"/>
    </row>
    <row r="54" spans="2:5" ht="14.15" customHeight="1" x14ac:dyDescent="0.35">
      <c r="B54" s="72"/>
      <c r="C54" s="72"/>
      <c r="D54" s="72"/>
      <c r="E54" s="72"/>
    </row>
    <row r="55" spans="2:5" ht="15.5" x14ac:dyDescent="0.35">
      <c r="B55" s="243" t="s">
        <v>33</v>
      </c>
      <c r="C55" s="243"/>
      <c r="D55" s="243"/>
      <c r="E55" s="243"/>
    </row>
    <row r="56" spans="2:5" ht="6" customHeight="1" x14ac:dyDescent="0.35">
      <c r="B56" s="72"/>
      <c r="C56" s="72"/>
      <c r="D56" s="72"/>
      <c r="E56" s="72"/>
    </row>
    <row r="57" spans="2:5" ht="13" customHeight="1" x14ac:dyDescent="0.35">
      <c r="B57" s="73" t="s">
        <v>10</v>
      </c>
      <c r="C57" s="238" t="s">
        <v>34</v>
      </c>
      <c r="D57" s="238"/>
      <c r="E57" s="74"/>
    </row>
    <row r="58" spans="2:5" ht="6" customHeight="1" x14ac:dyDescent="0.35">
      <c r="B58" s="72"/>
      <c r="C58" s="72"/>
      <c r="D58" s="72"/>
      <c r="E58" s="72"/>
    </row>
    <row r="59" spans="2:5" ht="26.15" customHeight="1" x14ac:dyDescent="0.35">
      <c r="B59" s="73" t="s">
        <v>10</v>
      </c>
      <c r="C59" s="238" t="s">
        <v>35</v>
      </c>
      <c r="D59" s="238"/>
      <c r="E59" s="74"/>
    </row>
    <row r="60" spans="2:5" ht="6" customHeight="1" x14ac:dyDescent="0.35">
      <c r="B60" s="72"/>
      <c r="C60" s="72"/>
      <c r="D60" s="72"/>
      <c r="E60" s="72"/>
    </row>
    <row r="61" spans="2:5" ht="13" customHeight="1" x14ac:dyDescent="0.35">
      <c r="B61" s="73" t="s">
        <v>10</v>
      </c>
      <c r="C61" s="238" t="s">
        <v>36</v>
      </c>
      <c r="D61" s="238"/>
      <c r="E61" s="74"/>
    </row>
    <row r="62" spans="2:5" ht="6" customHeight="1" x14ac:dyDescent="0.35">
      <c r="B62" s="72"/>
      <c r="C62" s="72"/>
      <c r="D62" s="72"/>
      <c r="E62" s="72"/>
    </row>
    <row r="63" spans="2:5" ht="13" customHeight="1" x14ac:dyDescent="0.35">
      <c r="B63" s="73" t="s">
        <v>10</v>
      </c>
      <c r="C63" s="238" t="s">
        <v>37</v>
      </c>
      <c r="D63" s="238"/>
      <c r="E63" s="74"/>
    </row>
    <row r="64" spans="2:5" ht="14.15" customHeight="1" x14ac:dyDescent="0.35">
      <c r="B64" s="72"/>
      <c r="C64" s="72"/>
      <c r="D64" s="72"/>
      <c r="E64" s="72"/>
    </row>
    <row r="65" spans="2:5" ht="15.5" x14ac:dyDescent="0.35">
      <c r="B65" s="248" t="s">
        <v>38</v>
      </c>
      <c r="C65" s="248"/>
      <c r="D65" s="248"/>
      <c r="E65" s="248"/>
    </row>
    <row r="66" spans="2:5" ht="6" customHeight="1" x14ac:dyDescent="0.35">
      <c r="B66" s="70"/>
      <c r="C66" s="70"/>
      <c r="D66" s="70"/>
      <c r="E66" s="71"/>
    </row>
    <row r="67" spans="2:5" ht="13" customHeight="1" x14ac:dyDescent="0.35">
      <c r="B67" s="73" t="s">
        <v>10</v>
      </c>
      <c r="C67" s="238" t="s">
        <v>39</v>
      </c>
      <c r="D67" s="238"/>
      <c r="E67" s="74"/>
    </row>
    <row r="68" spans="2:5" ht="14.15" customHeight="1" x14ac:dyDescent="0.35">
      <c r="B68" s="72"/>
      <c r="C68" s="72"/>
      <c r="D68" s="72"/>
      <c r="E68" s="72"/>
    </row>
    <row r="69" spans="2:5" ht="15.5" x14ac:dyDescent="0.35">
      <c r="B69" s="247" t="s">
        <v>40</v>
      </c>
      <c r="C69" s="247"/>
      <c r="D69" s="247"/>
      <c r="E69" s="247"/>
    </row>
    <row r="70" spans="2:5" ht="6" customHeight="1" x14ac:dyDescent="0.35">
      <c r="B70" s="70"/>
      <c r="C70" s="70"/>
      <c r="D70" s="70"/>
      <c r="E70" s="71"/>
    </row>
    <row r="71" spans="2:5" ht="13" customHeight="1" x14ac:dyDescent="0.35">
      <c r="B71" s="73" t="s">
        <v>10</v>
      </c>
      <c r="C71" s="238" t="s">
        <v>41</v>
      </c>
      <c r="D71" s="238"/>
      <c r="E71" s="74"/>
    </row>
    <row r="72" spans="2:5" ht="14.15" customHeight="1" x14ac:dyDescent="0.35">
      <c r="B72" s="72"/>
      <c r="C72" s="72"/>
      <c r="D72" s="72"/>
      <c r="E72" s="72"/>
    </row>
    <row r="73" spans="2:5" s="77" customFormat="1" ht="10" x14ac:dyDescent="0.35">
      <c r="B73" s="240" t="s">
        <v>42</v>
      </c>
      <c r="C73" s="240"/>
      <c r="D73" s="240"/>
    </row>
  </sheetData>
  <sheetProtection selectLockedCells="1" selectUnlockedCells="1"/>
  <mergeCells count="36">
    <mergeCell ref="B69:E69"/>
    <mergeCell ref="C71:D71"/>
    <mergeCell ref="C45:D45"/>
    <mergeCell ref="C47:D47"/>
    <mergeCell ref="C49:D49"/>
    <mergeCell ref="C63:D63"/>
    <mergeCell ref="B65:E65"/>
    <mergeCell ref="B16:E16"/>
    <mergeCell ref="B14:E14"/>
    <mergeCell ref="C24:D24"/>
    <mergeCell ref="C28:D28"/>
    <mergeCell ref="C30:D30"/>
    <mergeCell ref="C35:D35"/>
    <mergeCell ref="C31:D31"/>
    <mergeCell ref="C18:D18"/>
    <mergeCell ref="C20:D20"/>
    <mergeCell ref="C39:D39"/>
    <mergeCell ref="C32:D32"/>
    <mergeCell ref="C33:D33"/>
    <mergeCell ref="C34:D34"/>
    <mergeCell ref="C43:D43"/>
    <mergeCell ref="C41:D41"/>
    <mergeCell ref="C29:D29"/>
    <mergeCell ref="B73:D73"/>
    <mergeCell ref="B22:E22"/>
    <mergeCell ref="C25:D25"/>
    <mergeCell ref="C26:D26"/>
    <mergeCell ref="C27:D27"/>
    <mergeCell ref="C51:D51"/>
    <mergeCell ref="C53:D53"/>
    <mergeCell ref="C57:D57"/>
    <mergeCell ref="C59:D59"/>
    <mergeCell ref="C61:D61"/>
    <mergeCell ref="C67:D67"/>
    <mergeCell ref="B37:E37"/>
    <mergeCell ref="B55:E55"/>
  </mergeCells>
  <phoneticPr fontId="11" type="noConversion"/>
  <printOptions horizontalCentered="1"/>
  <pageMargins left="0.5" right="0.5" top="0.5" bottom="0.5" header="0" footer="0"/>
  <pageSetup scale="85" fitToWidth="0" fitToHeight="0" orientation="portrait" blackAndWhite="1" horizontalDpi="0" verticalDpi="0"/>
  <rowBreaks count="1" manualBreakCount="1">
    <brk id="73" max="16383" man="1"/>
  </rowBreaks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theme="0" tint="-0.499984740745262"/>
  </sheetPr>
  <dimension ref="A1:D77"/>
  <sheetViews>
    <sheetView workbookViewId="0">
      <pane ySplit="4" topLeftCell="A65" activePane="bottomLeft" state="frozen"/>
      <selection activeCell="D3" sqref="D3"/>
      <selection pane="bottomLeft" activeCell="B73" sqref="B73"/>
    </sheetView>
  </sheetViews>
  <sheetFormatPr defaultColWidth="10.83203125" defaultRowHeight="18" customHeight="1" x14ac:dyDescent="0.35"/>
  <cols>
    <col min="1" max="1" width="11.33203125" style="4" bestFit="1" customWidth="1"/>
    <col min="2" max="2" width="38.83203125" style="6" customWidth="1"/>
    <col min="3" max="3" width="30.58203125" style="6" customWidth="1"/>
    <col min="4" max="4" width="10.58203125" style="6" customWidth="1"/>
    <col min="5" max="16384" width="10.83203125" style="6"/>
  </cols>
  <sheetData>
    <row r="1" spans="1:4" s="1" customFormat="1" x14ac:dyDescent="0.35">
      <c r="A1" s="78" t="s">
        <v>43</v>
      </c>
    </row>
    <row r="2" spans="1:4" ht="18" customHeight="1" x14ac:dyDescent="0.35">
      <c r="A2" s="25" t="str">
        <f>INFORMATION!D3</f>
        <v>ASSOCIATION DES ÉTUDIANTS ET ÉTUDIANTES EN PHILOSOPHIE</v>
      </c>
    </row>
    <row r="4" spans="1:4" ht="18" customHeight="1" x14ac:dyDescent="0.35">
      <c r="A4" s="3" t="s">
        <v>44</v>
      </c>
      <c r="B4" s="5" t="s">
        <v>45</v>
      </c>
      <c r="C4" s="5" t="s">
        <v>46</v>
      </c>
      <c r="D4" s="5" t="s">
        <v>47</v>
      </c>
    </row>
    <row r="5" spans="1:4" ht="18" customHeight="1" x14ac:dyDescent="0.35">
      <c r="A5" s="3">
        <v>4100</v>
      </c>
      <c r="B5" s="5" t="s">
        <v>48</v>
      </c>
      <c r="C5" s="26" t="str">
        <f>CONCATENATE(Tableau3[[#This Row],[Numéro]]," - ",Tableau3[[#This Row],[Nom]])</f>
        <v>4100 - Solde reporté au début</v>
      </c>
      <c r="D5" s="5" t="s">
        <v>49</v>
      </c>
    </row>
    <row r="6" spans="1:4" ht="18" customHeight="1" x14ac:dyDescent="0.35">
      <c r="A6" s="7">
        <v>4110</v>
      </c>
      <c r="B6" s="5" t="s">
        <v>50</v>
      </c>
      <c r="C6" s="5" t="str">
        <f>CONCATENATE(Tableau3[[#This Row],[Numéro]]," - ",Tableau3[[#This Row],[Nom]])</f>
        <v>4110 - Cotisations étudiantes (automne)</v>
      </c>
      <c r="D6" s="5" t="s">
        <v>49</v>
      </c>
    </row>
    <row r="7" spans="1:4" ht="18" customHeight="1" x14ac:dyDescent="0.35">
      <c r="A7" s="7">
        <v>4111</v>
      </c>
      <c r="B7" s="5" t="s">
        <v>51</v>
      </c>
      <c r="C7" s="5" t="str">
        <f>CONCATENATE(Tableau3[[#This Row],[Numéro]]," - ",Tableau3[[#This Row],[Nom]])</f>
        <v>4111 - Cotisations étudiantes (hiver)</v>
      </c>
      <c r="D7" s="5" t="s">
        <v>49</v>
      </c>
    </row>
    <row r="8" spans="1:4" ht="18" customHeight="1" x14ac:dyDescent="0.35">
      <c r="A8" s="3">
        <v>4112</v>
      </c>
      <c r="B8" s="5" t="s">
        <v>52</v>
      </c>
      <c r="C8" s="26" t="str">
        <f>CONCATENATE(Tableau3[[#This Row],[Numéro]]," - ",Tableau3[[#This Row],[Nom]])</f>
        <v>4112 - Cotisations étudiantes (été)</v>
      </c>
      <c r="D8" s="5" t="s">
        <v>49</v>
      </c>
    </row>
    <row r="9" spans="1:4" ht="18" customHeight="1" x14ac:dyDescent="0.35">
      <c r="A9" s="7">
        <v>4113</v>
      </c>
      <c r="B9" s="5" t="s">
        <v>53</v>
      </c>
      <c r="C9" s="5" t="str">
        <f>CONCATENATE(Tableau3[[#This Row],[Numéro]]," - ",Tableau3[[#This Row],[Nom]])</f>
        <v>4113 - Cotisations étudiantes (remises antérieures)</v>
      </c>
      <c r="D9" s="5" t="s">
        <v>49</v>
      </c>
    </row>
    <row r="10" spans="1:4" ht="18" customHeight="1" x14ac:dyDescent="0.35">
      <c r="A10" s="3">
        <v>4120</v>
      </c>
      <c r="B10" s="5" t="s">
        <v>54</v>
      </c>
      <c r="C10" s="5" t="str">
        <f>CONCATENATE(Tableau3[[#This Row],[Numéro]]," - ",Tableau3[[#This Row],[Nom]])</f>
        <v>4120 - Commandites</v>
      </c>
      <c r="D10" s="5" t="s">
        <v>49</v>
      </c>
    </row>
    <row r="11" spans="1:4" ht="18" customHeight="1" x14ac:dyDescent="0.35">
      <c r="A11" s="3">
        <v>4130</v>
      </c>
      <c r="B11" s="5" t="s">
        <v>55</v>
      </c>
      <c r="C11" s="5" t="str">
        <f>CONCATENATE(Tableau3[[#This Row],[Numéro]]," - ",Tableau3[[#This Row],[Nom]])</f>
        <v>4130 - Bourses et subventions</v>
      </c>
      <c r="D11" s="5" t="s">
        <v>49</v>
      </c>
    </row>
    <row r="12" spans="1:4" ht="18" customHeight="1" x14ac:dyDescent="0.35">
      <c r="A12" s="3">
        <v>4199</v>
      </c>
      <c r="B12" s="5" t="s">
        <v>56</v>
      </c>
      <c r="C12" s="5" t="str">
        <f>CONCATENATE(Tableau3[[#This Row],[Numéro]]," - ",Tableau3[[#This Row],[Nom]])</f>
        <v>4199 - Autres revenus d'administration</v>
      </c>
      <c r="D12" s="5" t="s">
        <v>49</v>
      </c>
    </row>
    <row r="13" spans="1:4" ht="18" customHeight="1" x14ac:dyDescent="0.35">
      <c r="A13" s="3">
        <v>4200</v>
      </c>
      <c r="B13" s="5" t="s">
        <v>12</v>
      </c>
      <c r="C13" s="5" t="str">
        <f>CONCATENATE(Tableau3[[#This Row],[Numéro]]," - ",Tableau3[[#This Row],[Nom]])</f>
        <v>4200 - 5@7</v>
      </c>
      <c r="D13" s="5" t="s">
        <v>49</v>
      </c>
    </row>
    <row r="14" spans="1:4" ht="18" customHeight="1" x14ac:dyDescent="0.35">
      <c r="A14" s="3">
        <v>4210</v>
      </c>
      <c r="B14" s="5" t="s">
        <v>57</v>
      </c>
      <c r="C14" s="5" t="str">
        <f>CONCATENATE(Tableau3[[#This Row],[Numéro]]," - ",Tableau3[[#This Row],[Nom]])</f>
        <v>4210 - Matériel promotionnel</v>
      </c>
      <c r="D14" s="5" t="s">
        <v>49</v>
      </c>
    </row>
    <row r="15" spans="1:4" ht="18" customHeight="1" x14ac:dyDescent="0.35">
      <c r="A15" s="3">
        <v>4220</v>
      </c>
      <c r="B15" s="5" t="s">
        <v>58</v>
      </c>
      <c r="C15" s="5" t="str">
        <f>CONCATENATE(Tableau3[[#This Row],[Numéro]]," - ",Tableau3[[#This Row],[Nom]])</f>
        <v>4220 - Bourses - Colloque 1er Cycle</v>
      </c>
      <c r="D15" s="5" t="s">
        <v>49</v>
      </c>
    </row>
    <row r="16" spans="1:4" ht="18" customHeight="1" x14ac:dyDescent="0.35">
      <c r="A16" s="3">
        <v>4230</v>
      </c>
      <c r="B16" s="5" t="s">
        <v>19</v>
      </c>
      <c r="C16" s="5" t="str">
        <f>CONCATENATE(Tableau3[[#This Row],[Numéro]]," - ",Tableau3[[#This Row],[Nom]])</f>
        <v>4230 - Projets étudiants</v>
      </c>
      <c r="D16" s="5" t="s">
        <v>49</v>
      </c>
    </row>
    <row r="17" spans="1:4" ht="18" customHeight="1" x14ac:dyDescent="0.35">
      <c r="A17" s="3">
        <v>4240</v>
      </c>
      <c r="B17" s="5" t="s">
        <v>14</v>
      </c>
      <c r="C17" s="5" t="str">
        <f>CONCATENATE(Tableau3[[#This Row],[Numéro]]," - ",Tableau3[[#This Row],[Nom]])</f>
        <v>4240 - Sports</v>
      </c>
      <c r="D17" s="5" t="s">
        <v>49</v>
      </c>
    </row>
    <row r="18" spans="1:4" ht="18" customHeight="1" x14ac:dyDescent="0.35">
      <c r="A18" s="3">
        <v>4250</v>
      </c>
      <c r="B18" s="5" t="s">
        <v>59</v>
      </c>
      <c r="C18" s="5" t="str">
        <f>CONCATENATE(Tableau3[[#This Row],[Numéro]]," - ",Tableau3[[#This Row],[Nom]])</f>
        <v>4250 - Autres activités socio-culturelles</v>
      </c>
      <c r="D18" s="5" t="s">
        <v>49</v>
      </c>
    </row>
    <row r="19" spans="1:4" ht="18" customHeight="1" x14ac:dyDescent="0.35">
      <c r="A19" s="3">
        <v>4260</v>
      </c>
      <c r="B19" s="5" t="s">
        <v>15</v>
      </c>
      <c r="C19" s="5" t="str">
        <f>CONCATENATE(Tableau3[[#This Row],[Numéro]]," - ",Tableau3[[#This Row],[Nom]])</f>
        <v>4260 - Activités d'accueil</v>
      </c>
      <c r="D19" s="5" t="s">
        <v>49</v>
      </c>
    </row>
    <row r="20" spans="1:4" ht="18" customHeight="1" x14ac:dyDescent="0.35">
      <c r="A20" s="3">
        <v>4270</v>
      </c>
      <c r="B20" s="5" t="s">
        <v>60</v>
      </c>
      <c r="C20" s="5" t="str">
        <f>CONCATENATE(Tableau3[[#This Row],[Numéro]]," - ",Tableau3[[#This Row],[Nom]])</f>
        <v>4270 - Party de mi-session (automne)</v>
      </c>
      <c r="D20" s="5" t="s">
        <v>49</v>
      </c>
    </row>
    <row r="21" spans="1:4" ht="18" customHeight="1" x14ac:dyDescent="0.35">
      <c r="A21" s="3">
        <v>4271</v>
      </c>
      <c r="B21" s="5" t="s">
        <v>61</v>
      </c>
      <c r="C21" s="5" t="str">
        <f>CONCATENATE(Tableau3[[#This Row],[Numéro]]," - ",Tableau3[[#This Row],[Nom]])</f>
        <v>4271 - Party de fin de session (automne)</v>
      </c>
      <c r="D21" s="5" t="s">
        <v>49</v>
      </c>
    </row>
    <row r="22" spans="1:4" ht="18" customHeight="1" x14ac:dyDescent="0.35">
      <c r="A22" s="3">
        <v>4272</v>
      </c>
      <c r="B22" s="5" t="s">
        <v>62</v>
      </c>
      <c r="C22" s="26" t="str">
        <f>CONCATENATE(Tableau3[[#This Row],[Numéro]]," - ",Tableau3[[#This Row],[Nom]])</f>
        <v>4272 - Party de début de session (hiver)</v>
      </c>
      <c r="D22" s="5" t="s">
        <v>49</v>
      </c>
    </row>
    <row r="23" spans="1:4" ht="18" customHeight="1" x14ac:dyDescent="0.35">
      <c r="A23" s="3">
        <v>4273</v>
      </c>
      <c r="B23" s="5" t="s">
        <v>63</v>
      </c>
      <c r="C23" s="5" t="str">
        <f>CONCATENATE(Tableau3[[#This Row],[Numéro]]," - ",Tableau3[[#This Row],[Nom]])</f>
        <v>4273 - Party de mi-session (hiver)</v>
      </c>
      <c r="D23" s="5" t="s">
        <v>49</v>
      </c>
    </row>
    <row r="24" spans="1:4" ht="18" customHeight="1" x14ac:dyDescent="0.35">
      <c r="A24" s="3">
        <v>4274</v>
      </c>
      <c r="B24" s="5" t="s">
        <v>64</v>
      </c>
      <c r="C24" s="5" t="str">
        <f>CONCATENATE(Tableau3[[#This Row],[Numéro]]," - ",Tableau3[[#This Row],[Nom]])</f>
        <v>4274 - Party de fin de session (hiver)</v>
      </c>
      <c r="D24" s="5" t="s">
        <v>49</v>
      </c>
    </row>
    <row r="25" spans="1:4" ht="18" customHeight="1" x14ac:dyDescent="0.35">
      <c r="A25" s="3">
        <v>4300</v>
      </c>
      <c r="B25" s="5" t="s">
        <v>65</v>
      </c>
      <c r="C25" s="5" t="str">
        <f>CONCATENATE(Tableau3[[#This Row],[Numéro]]," - ",Tableau3[[#This Row],[Nom]])</f>
        <v>4300 - Colloque des Cycles supérieurs</v>
      </c>
      <c r="D25" s="5" t="s">
        <v>49</v>
      </c>
    </row>
    <row r="26" spans="1:4" ht="18" customHeight="1" x14ac:dyDescent="0.35">
      <c r="A26" s="3">
        <v>4310</v>
      </c>
      <c r="B26" s="5" t="s">
        <v>66</v>
      </c>
      <c r="C26" s="5" t="str">
        <f>CONCATENATE(Tableau3[[#This Row],[Numéro]]," - ",Tableau3[[#This Row],[Nom]])</f>
        <v>4310 - Bourses - Colloque Cycles supérieurs</v>
      </c>
      <c r="D26" s="5" t="s">
        <v>49</v>
      </c>
    </row>
    <row r="27" spans="1:4" ht="18" customHeight="1" x14ac:dyDescent="0.35">
      <c r="A27" s="3">
        <v>4320</v>
      </c>
      <c r="B27" s="5" t="s">
        <v>67</v>
      </c>
      <c r="C27" s="5" t="str">
        <f>CONCATENATE(Tableau3[[#This Row],[Numéro]]," - ",Tableau3[[#This Row],[Nom]])</f>
        <v>4320 - Séminaire étudiant</v>
      </c>
      <c r="D27" s="5" t="s">
        <v>49</v>
      </c>
    </row>
    <row r="28" spans="1:4" ht="18" customHeight="1" x14ac:dyDescent="0.35">
      <c r="A28" s="3">
        <v>4400</v>
      </c>
      <c r="B28" s="5" t="s">
        <v>68</v>
      </c>
      <c r="C28" s="5" t="str">
        <f>CONCATENATE(Tableau3[[#This Row],[Numéro]]," - ",Tableau3[[#This Row],[Nom]])</f>
        <v>4400 - Représentation externe</v>
      </c>
      <c r="D28" s="5" t="s">
        <v>49</v>
      </c>
    </row>
    <row r="29" spans="1:4" ht="18" customHeight="1" x14ac:dyDescent="0.35">
      <c r="A29" s="3">
        <v>4410</v>
      </c>
      <c r="B29" s="5" t="s">
        <v>69</v>
      </c>
      <c r="C29" s="5" t="str">
        <f>CONCATENATE(Tableau3[[#This Row],[Numéro]]," - ",Tableau3[[#This Row],[Nom]])</f>
        <v>4410 - Cotisations ASSÉ</v>
      </c>
      <c r="D29" s="5" t="s">
        <v>49</v>
      </c>
    </row>
    <row r="30" spans="1:4" ht="18" customHeight="1" x14ac:dyDescent="0.35">
      <c r="A30" s="3">
        <v>4420</v>
      </c>
      <c r="B30" s="5" t="s">
        <v>70</v>
      </c>
      <c r="C30" s="5" t="str">
        <f>CONCATENATE(Tableau3[[#This Row],[Numéro]]," - ",Tableau3[[#This Row],[Nom]])</f>
        <v>4420 - Comité légal de l'ASSÉ</v>
      </c>
      <c r="D30" s="5" t="s">
        <v>49</v>
      </c>
    </row>
    <row r="31" spans="1:4" ht="18" customHeight="1" x14ac:dyDescent="0.35">
      <c r="A31" s="3">
        <v>4430</v>
      </c>
      <c r="B31" s="5" t="s">
        <v>20</v>
      </c>
      <c r="C31" s="5" t="str">
        <f>CONCATENATE(Tableau3[[#This Row],[Numéro]]," - ",Tableau3[[#This Row],[Nom]])</f>
        <v>4430 - Mobilisation</v>
      </c>
      <c r="D31" s="5" t="s">
        <v>49</v>
      </c>
    </row>
    <row r="32" spans="1:4" ht="18" customHeight="1" x14ac:dyDescent="0.35">
      <c r="A32" s="3">
        <v>4500</v>
      </c>
      <c r="B32" s="5" t="s">
        <v>71</v>
      </c>
      <c r="C32" s="5" t="str">
        <f>CONCATENATE(Tableau3[[#This Row],[Numéro]]," - ",Tableau3[[#This Row],[Nom]])</f>
        <v>4500 - Ithaque</v>
      </c>
      <c r="D32" s="5" t="s">
        <v>49</v>
      </c>
    </row>
    <row r="33" spans="1:4" ht="18" customHeight="1" x14ac:dyDescent="0.35">
      <c r="A33" s="3">
        <v>4510</v>
      </c>
      <c r="B33" s="5" t="s">
        <v>72</v>
      </c>
      <c r="C33" s="5" t="str">
        <f>CONCATENATE(Tableau3[[#This Row],[Numéro]]," - ",Tableau3[[#This Row],[Nom]])</f>
        <v>4510 - Philopolis</v>
      </c>
      <c r="D33" s="5" t="s">
        <v>49</v>
      </c>
    </row>
    <row r="34" spans="1:4" ht="18" customHeight="1" x14ac:dyDescent="0.35">
      <c r="A34" s="3">
        <v>4520</v>
      </c>
      <c r="B34" s="5" t="s">
        <v>73</v>
      </c>
      <c r="C34" s="5" t="str">
        <f>CONCATENATE(Tableau3[[#This Row],[Numéro]]," - ",Tableau3[[#This Row],[Nom]])</f>
        <v>4520 - Pensées Canadiennes</v>
      </c>
      <c r="D34" s="5" t="s">
        <v>49</v>
      </c>
    </row>
    <row r="35" spans="1:4" ht="18" customHeight="1" x14ac:dyDescent="0.35">
      <c r="A35" s="3">
        <v>4530</v>
      </c>
      <c r="B35" s="5" t="s">
        <v>74</v>
      </c>
      <c r="C35" s="5" t="str">
        <f>CONCATENATE(Tableau3[[#This Row],[Numéro]]," - ",Tableau3[[#This Row],[Nom]])</f>
        <v>4530 - Comité femmes de l'ADÉPUM</v>
      </c>
      <c r="D35" s="5" t="s">
        <v>49</v>
      </c>
    </row>
    <row r="36" spans="1:4" ht="18" customHeight="1" x14ac:dyDescent="0.35">
      <c r="A36" s="3">
        <v>4540</v>
      </c>
      <c r="B36" s="5" t="s">
        <v>75</v>
      </c>
      <c r="C36" s="5" t="str">
        <f>CONCATENATE(Tableau3[[#This Row],[Numéro]]," - ",Tableau3[[#This Row],[Nom]])</f>
        <v>4540 - Assemblées générales</v>
      </c>
      <c r="D36" s="5" t="s">
        <v>49</v>
      </c>
    </row>
    <row r="37" spans="1:4" ht="18" customHeight="1" x14ac:dyDescent="0.35">
      <c r="A37" s="3">
        <v>4550</v>
      </c>
      <c r="B37" s="5" t="s">
        <v>76</v>
      </c>
      <c r="C37" s="5" t="str">
        <f>CONCATENATE(Tableau3[[#This Row],[Numéro]]," - ",Tableau3[[#This Row],[Nom]])</f>
        <v>4550 - Café et thé</v>
      </c>
      <c r="D37" s="5" t="s">
        <v>49</v>
      </c>
    </row>
    <row r="38" spans="1:4" ht="18" customHeight="1" x14ac:dyDescent="0.35">
      <c r="A38" s="3">
        <v>4560</v>
      </c>
      <c r="B38" s="5" t="s">
        <v>77</v>
      </c>
      <c r="C38" s="26" t="str">
        <f>CONCATENATE(Tableau3[[#This Row],[Numéro]]," - ",Tableau3[[#This Row],[Nom]])</f>
        <v>4560 - Cadeaux aux secrétaires du Département de philosophie</v>
      </c>
      <c r="D38" s="5" t="s">
        <v>49</v>
      </c>
    </row>
    <row r="39" spans="1:4" ht="18" customHeight="1" x14ac:dyDescent="0.35">
      <c r="A39" s="3">
        <v>5100</v>
      </c>
      <c r="B39" s="5" t="s">
        <v>78</v>
      </c>
      <c r="C39" s="26" t="str">
        <f>CONCATENATE(Tableau3[[#This Row],[Numéro]]," - ",Tableau3[[#This Row],[Nom]])</f>
        <v>5100 - Matériel et fournitures</v>
      </c>
      <c r="D39" s="5" t="s">
        <v>79</v>
      </c>
    </row>
    <row r="40" spans="1:4" ht="18" customHeight="1" x14ac:dyDescent="0.35">
      <c r="A40" s="3">
        <v>5110</v>
      </c>
      <c r="B40" s="5" t="s">
        <v>80</v>
      </c>
      <c r="C40" s="26" t="str">
        <f>CONCATENATE(Tableau3[[#This Row],[Numéro]]," - ",Tableau3[[#This Row],[Nom]])</f>
        <v>5110 - Imprimante</v>
      </c>
      <c r="D40" s="5" t="s">
        <v>79</v>
      </c>
    </row>
    <row r="41" spans="1:4" ht="18" customHeight="1" x14ac:dyDescent="0.35">
      <c r="A41" s="3">
        <v>5115</v>
      </c>
      <c r="B41" s="5" t="s">
        <v>81</v>
      </c>
      <c r="C41" s="26" t="str">
        <f>CONCATENATE(Tableau3[[#This Row],[Numéro]]," - ",Tableau3[[#This Row],[Nom]])</f>
        <v>5115 - Site Internet de l'ADEPUM</v>
      </c>
      <c r="D41" s="5" t="s">
        <v>79</v>
      </c>
    </row>
    <row r="42" spans="1:4" ht="18" customHeight="1" x14ac:dyDescent="0.35">
      <c r="A42" s="3">
        <v>5120</v>
      </c>
      <c r="B42" s="5" t="s">
        <v>82</v>
      </c>
      <c r="C42" s="5" t="str">
        <f>CONCATENATE(Tableau3[[#This Row],[Numéro]]," - ",Tableau3[[#This Row],[Nom]])</f>
        <v>5120 - Registraire des entreprises du Québec</v>
      </c>
      <c r="D42" s="5" t="s">
        <v>79</v>
      </c>
    </row>
    <row r="43" spans="1:4" ht="18" customHeight="1" x14ac:dyDescent="0.35">
      <c r="A43" s="3">
        <v>5130</v>
      </c>
      <c r="B43" s="5" t="s">
        <v>83</v>
      </c>
      <c r="C43" s="5" t="str">
        <f>CONCATENATE(Tableau3[[#This Row],[Numéro]]," - ",Tableau3[[#This Row],[Nom]])</f>
        <v>5130 - Déclarations d'impôts</v>
      </c>
      <c r="D43" s="5" t="s">
        <v>79</v>
      </c>
    </row>
    <row r="44" spans="1:4" ht="18" customHeight="1" x14ac:dyDescent="0.35">
      <c r="A44" s="3">
        <v>5140</v>
      </c>
      <c r="B44" s="5" t="s">
        <v>84</v>
      </c>
      <c r="C44" s="5" t="str">
        <f>CONCATENATE(Tableau3[[#This Row],[Numéro]]," - ",Tableau3[[#This Row],[Nom]])</f>
        <v>5140 - Frais bancaires</v>
      </c>
      <c r="D44" s="5" t="s">
        <v>79</v>
      </c>
    </row>
    <row r="45" spans="1:4" ht="18" customHeight="1" x14ac:dyDescent="0.35">
      <c r="A45" s="145">
        <v>5200</v>
      </c>
      <c r="B45" s="146" t="s">
        <v>12</v>
      </c>
      <c r="C45" s="5" t="s">
        <v>85</v>
      </c>
      <c r="D45" s="5" t="s">
        <v>79</v>
      </c>
    </row>
    <row r="46" spans="1:4" ht="18" customHeight="1" x14ac:dyDescent="0.35">
      <c r="A46" s="106">
        <v>5210</v>
      </c>
      <c r="B46" s="107" t="s">
        <v>57</v>
      </c>
      <c r="C46" s="5" t="str">
        <f>CONCATENATE(Tableau3[[#This Row],[Numéro]]," - ",Tableau3[[#This Row],[Nom]])</f>
        <v>5210 - Matériel promotionnel</v>
      </c>
      <c r="D46" s="5" t="s">
        <v>79</v>
      </c>
    </row>
    <row r="47" spans="1:4" ht="18" customHeight="1" x14ac:dyDescent="0.35">
      <c r="A47" s="106">
        <v>5215</v>
      </c>
      <c r="B47" s="107" t="s">
        <v>86</v>
      </c>
      <c r="C47" s="5" t="str">
        <f>CONCATENATE(Tableau3[[#This Row],[Numéro]]," - ",Tableau3[[#This Row],[Nom]])</f>
        <v>5215 - Colloque 1er Cycle</v>
      </c>
      <c r="D47" s="5" t="s">
        <v>79</v>
      </c>
    </row>
    <row r="48" spans="1:4" ht="18" customHeight="1" x14ac:dyDescent="0.35">
      <c r="A48" s="145">
        <v>5220</v>
      </c>
      <c r="B48" s="146" t="s">
        <v>58</v>
      </c>
      <c r="C48" s="5" t="str">
        <f>CONCATENATE(Tableau3[[#This Row],[Numéro]]," - ",Tableau3[[#This Row],[Nom]])</f>
        <v>5220 - Bourses - Colloque 1er Cycle</v>
      </c>
      <c r="D48" s="5" t="s">
        <v>79</v>
      </c>
    </row>
    <row r="49" spans="1:4" ht="18" customHeight="1" x14ac:dyDescent="0.35">
      <c r="A49" s="106">
        <v>5230</v>
      </c>
      <c r="B49" s="107" t="s">
        <v>19</v>
      </c>
      <c r="C49" s="5" t="str">
        <f>CONCATENATE(Tableau3[[#This Row],[Numéro]]," - ",Tableau3[[#This Row],[Nom]])</f>
        <v>5230 - Projets étudiants</v>
      </c>
      <c r="D49" s="5" t="s">
        <v>79</v>
      </c>
    </row>
    <row r="50" spans="1:4" ht="18" customHeight="1" x14ac:dyDescent="0.35">
      <c r="A50" s="106">
        <v>5240</v>
      </c>
      <c r="B50" s="107" t="s">
        <v>14</v>
      </c>
      <c r="C50" s="5" t="str">
        <f>CONCATENATE(Tableau3[[#This Row],[Numéro]]," - ",Tableau3[[#This Row],[Nom]])</f>
        <v>5240 - Sports</v>
      </c>
      <c r="D50" s="5" t="s">
        <v>79</v>
      </c>
    </row>
    <row r="51" spans="1:4" ht="18" customHeight="1" x14ac:dyDescent="0.35">
      <c r="A51" s="104">
        <v>5250</v>
      </c>
      <c r="B51" s="105" t="s">
        <v>59</v>
      </c>
      <c r="C51" s="5" t="str">
        <f>CONCATENATE(Tableau3[[#This Row],[Numéro]]," - ",Tableau3[[#This Row],[Nom]])</f>
        <v>5250 - Autres activités socio-culturelles</v>
      </c>
      <c r="D51" s="5" t="s">
        <v>79</v>
      </c>
    </row>
    <row r="52" spans="1:4" ht="18" customHeight="1" x14ac:dyDescent="0.35">
      <c r="A52" s="106">
        <v>5260</v>
      </c>
      <c r="B52" s="107" t="s">
        <v>15</v>
      </c>
      <c r="C52" s="5" t="str">
        <f>CONCATENATE(Tableau3[[#This Row],[Numéro]]," - ",Tableau3[[#This Row],[Nom]])</f>
        <v>5260 - Activités d'accueil</v>
      </c>
      <c r="D52" s="5" t="s">
        <v>79</v>
      </c>
    </row>
    <row r="53" spans="1:4" ht="18" customHeight="1" x14ac:dyDescent="0.35">
      <c r="A53" s="106">
        <v>5265</v>
      </c>
      <c r="B53" s="107" t="s">
        <v>87</v>
      </c>
      <c r="C53" s="5" t="str">
        <f>CONCATENATE(Tableau3[[#This Row],[Numéro]]," - ",Tableau3[[#This Row],[Nom]])</f>
        <v>5265 - Party de la rentrée (automne)</v>
      </c>
      <c r="D53" s="5" t="s">
        <v>79</v>
      </c>
    </row>
    <row r="54" spans="1:4" ht="18" customHeight="1" x14ac:dyDescent="0.35">
      <c r="A54" s="104">
        <v>5270</v>
      </c>
      <c r="B54" s="105" t="s">
        <v>60</v>
      </c>
      <c r="C54" s="5" t="str">
        <f>CONCATENATE(Tableau3[[#This Row],[Numéro]]," - ",Tableau3[[#This Row],[Nom]])</f>
        <v>5270 - Party de mi-session (automne)</v>
      </c>
      <c r="D54" s="5" t="s">
        <v>79</v>
      </c>
    </row>
    <row r="55" spans="1:4" ht="18" customHeight="1" x14ac:dyDescent="0.35">
      <c r="A55" s="106">
        <v>5271</v>
      </c>
      <c r="B55" s="107" t="s">
        <v>61</v>
      </c>
      <c r="C55" s="5" t="str">
        <f>CONCATENATE(Tableau3[[#This Row],[Numéro]]," - ",Tableau3[[#This Row],[Nom]])</f>
        <v>5271 - Party de fin de session (automne)</v>
      </c>
      <c r="D55" s="5" t="s">
        <v>79</v>
      </c>
    </row>
    <row r="56" spans="1:4" ht="18" customHeight="1" x14ac:dyDescent="0.35">
      <c r="A56" s="104">
        <v>5272</v>
      </c>
      <c r="B56" s="105" t="s">
        <v>62</v>
      </c>
      <c r="C56" s="5" t="str">
        <f>CONCATENATE(Tableau3[[#This Row],[Numéro]]," - ",Tableau3[[#This Row],[Nom]])</f>
        <v>5272 - Party de début de session (hiver)</v>
      </c>
      <c r="D56" s="5" t="s">
        <v>79</v>
      </c>
    </row>
    <row r="57" spans="1:4" ht="18" customHeight="1" x14ac:dyDescent="0.35">
      <c r="A57" s="106">
        <v>5273</v>
      </c>
      <c r="B57" s="107" t="s">
        <v>63</v>
      </c>
      <c r="C57" s="5" t="str">
        <f>CONCATENATE(Tableau3[[#This Row],[Numéro]]," - ",Tableau3[[#This Row],[Nom]])</f>
        <v>5273 - Party de mi-session (hiver)</v>
      </c>
      <c r="D57" s="5" t="s">
        <v>79</v>
      </c>
    </row>
    <row r="58" spans="1:4" ht="18" customHeight="1" x14ac:dyDescent="0.35">
      <c r="A58" s="104">
        <v>5274</v>
      </c>
      <c r="B58" s="105" t="s">
        <v>64</v>
      </c>
      <c r="C58" s="5" t="str">
        <f>CONCATENATE(Tableau3[[#This Row],[Numéro]]," - ",Tableau3[[#This Row],[Nom]])</f>
        <v>5274 - Party de fin de session (hiver)</v>
      </c>
      <c r="D58" s="5" t="s">
        <v>79</v>
      </c>
    </row>
    <row r="59" spans="1:4" ht="18" customHeight="1" x14ac:dyDescent="0.35">
      <c r="A59" s="106">
        <v>5300</v>
      </c>
      <c r="B59" s="107" t="s">
        <v>65</v>
      </c>
      <c r="C59" s="5" t="str">
        <f>CONCATENATE(Tableau3[[#This Row],[Numéro]]," - ",Tableau3[[#This Row],[Nom]])</f>
        <v>5300 - Colloque des Cycles supérieurs</v>
      </c>
      <c r="D59" s="5" t="s">
        <v>79</v>
      </c>
    </row>
    <row r="60" spans="1:4" ht="18" customHeight="1" x14ac:dyDescent="0.35">
      <c r="A60" s="104">
        <v>5310</v>
      </c>
      <c r="B60" s="105" t="s">
        <v>66</v>
      </c>
      <c r="C60" s="5" t="str">
        <f>CONCATENATE(Tableau3[[#This Row],[Numéro]]," - ",Tableau3[[#This Row],[Nom]])</f>
        <v>5310 - Bourses - Colloque Cycles supérieurs</v>
      </c>
      <c r="D60" s="5" t="s">
        <v>79</v>
      </c>
    </row>
    <row r="61" spans="1:4" ht="18" customHeight="1" x14ac:dyDescent="0.35">
      <c r="A61" s="106">
        <v>5320</v>
      </c>
      <c r="B61" s="107" t="s">
        <v>67</v>
      </c>
      <c r="C61" s="5" t="str">
        <f>CONCATENATE(Tableau3[[#This Row],[Numéro]]," - ",Tableau3[[#This Row],[Nom]])</f>
        <v>5320 - Séminaire étudiant</v>
      </c>
      <c r="D61" s="5" t="s">
        <v>79</v>
      </c>
    </row>
    <row r="62" spans="1:4" ht="18" customHeight="1" x14ac:dyDescent="0.35">
      <c r="A62" s="104">
        <v>5400</v>
      </c>
      <c r="B62" s="105" t="s">
        <v>68</v>
      </c>
      <c r="C62" s="5" t="str">
        <f>CONCATENATE(Tableau3[[#This Row],[Numéro]]," - ",Tableau3[[#This Row],[Nom]])</f>
        <v>5400 - Représentation externe</v>
      </c>
      <c r="D62" s="5" t="s">
        <v>79</v>
      </c>
    </row>
    <row r="63" spans="1:4" ht="18" customHeight="1" x14ac:dyDescent="0.35">
      <c r="A63" s="3">
        <v>5410</v>
      </c>
      <c r="B63" s="5" t="s">
        <v>69</v>
      </c>
      <c r="C63" s="5" t="str">
        <f>CONCATENATE(Tableau3[[#This Row],[Numéro]]," - ",Tableau3[[#This Row],[Nom]])</f>
        <v>5410 - Cotisations ASSÉ</v>
      </c>
      <c r="D63" s="5" t="s">
        <v>79</v>
      </c>
    </row>
    <row r="64" spans="1:4" ht="18" customHeight="1" x14ac:dyDescent="0.35">
      <c r="A64" s="3">
        <v>5415</v>
      </c>
      <c r="B64" s="5" t="s">
        <v>88</v>
      </c>
      <c r="C64" s="5" t="str">
        <f>CONCATENATE(Tableau3[[#This Row],[Numéro]]," - ",Tableau3[[#This Row],[Nom]])</f>
        <v>5415 - CEVES</v>
      </c>
      <c r="D64" s="5" t="s">
        <v>79</v>
      </c>
    </row>
    <row r="65" spans="1:4" ht="18" customHeight="1" x14ac:dyDescent="0.35">
      <c r="A65" s="3">
        <v>5420</v>
      </c>
      <c r="B65" s="5" t="s">
        <v>70</v>
      </c>
      <c r="C65" s="5" t="str">
        <f>CONCATENATE(Tableau3[[#This Row],[Numéro]]," - ",Tableau3[[#This Row],[Nom]])</f>
        <v>5420 - Comité légal de l'ASSÉ</v>
      </c>
      <c r="D65" s="5" t="s">
        <v>79</v>
      </c>
    </row>
    <row r="66" spans="1:4" ht="18" customHeight="1" x14ac:dyDescent="0.35">
      <c r="A66" s="3">
        <v>5430</v>
      </c>
      <c r="B66" s="5" t="s">
        <v>20</v>
      </c>
      <c r="C66" s="5" t="str">
        <f>CONCATENATE(Tableau3[[#This Row],[Numéro]]," - ",Tableau3[[#This Row],[Nom]])</f>
        <v>5430 - Mobilisation</v>
      </c>
      <c r="D66" s="5" t="s">
        <v>79</v>
      </c>
    </row>
    <row r="67" spans="1:4" ht="18" customHeight="1" x14ac:dyDescent="0.35">
      <c r="A67" s="3">
        <v>5440</v>
      </c>
      <c r="B67" s="5" t="s">
        <v>89</v>
      </c>
      <c r="C67" s="26" t="str">
        <f>CONCATENATE(Tableau3[[#This Row],[Numéro]]," - ",Tableau3[[#This Row],[Nom]])</f>
        <v>5440 - Fonds d'urgence</v>
      </c>
      <c r="D67" s="5" t="s">
        <v>79</v>
      </c>
    </row>
    <row r="68" spans="1:4" ht="18" customHeight="1" x14ac:dyDescent="0.35">
      <c r="A68" s="3">
        <v>5500</v>
      </c>
      <c r="B68" s="5" t="s">
        <v>90</v>
      </c>
      <c r="C68" s="26" t="str">
        <f>CONCATENATE(Tableau3[[#This Row],[Numéro]]," - ",Tableau3[[#This Row],[Nom]])</f>
        <v>5500 - Vie Phi (remplacé 2025)</v>
      </c>
      <c r="D68" s="5" t="s">
        <v>79</v>
      </c>
    </row>
    <row r="69" spans="1:4" ht="18" customHeight="1" x14ac:dyDescent="0.35">
      <c r="A69" s="3">
        <v>5510</v>
      </c>
      <c r="B69" s="5" t="s">
        <v>71</v>
      </c>
      <c r="C69" s="5" t="str">
        <f>CONCATENATE(Tableau3[[#This Row],[Numéro]]," - ",Tableau3[[#This Row],[Nom]])</f>
        <v>5510 - Ithaque</v>
      </c>
      <c r="D69" s="5" t="s">
        <v>79</v>
      </c>
    </row>
    <row r="70" spans="1:4" ht="18" customHeight="1" x14ac:dyDescent="0.35">
      <c r="A70" s="3">
        <v>5520</v>
      </c>
      <c r="B70" s="5" t="s">
        <v>72</v>
      </c>
      <c r="C70" s="5" t="str">
        <f>CONCATENATE(Tableau3[[#This Row],[Numéro]]," - ",Tableau3[[#This Row],[Nom]])</f>
        <v>5520 - Philopolis</v>
      </c>
      <c r="D70" s="5" t="s">
        <v>79</v>
      </c>
    </row>
    <row r="71" spans="1:4" ht="18" customHeight="1" x14ac:dyDescent="0.35">
      <c r="A71" s="3">
        <v>5530</v>
      </c>
      <c r="B71" s="5" t="s">
        <v>91</v>
      </c>
      <c r="C71" s="5" t="str">
        <f>CONCATENATE(Tableau3[[#This Row],[Numéro]]," - ",Tableau3[[#This Row],[Nom]])</f>
        <v>5530 - Lampadaire</v>
      </c>
      <c r="D71" s="5" t="s">
        <v>79</v>
      </c>
    </row>
    <row r="72" spans="1:4" ht="18" customHeight="1" x14ac:dyDescent="0.35">
      <c r="A72" s="3">
        <v>5540</v>
      </c>
      <c r="B72" s="5" t="s">
        <v>92</v>
      </c>
      <c r="C72" s="5" t="str">
        <f>CONCATENATE(Tableau3[[#This Row],[Numéro]]," - ",Tableau3[[#This Row],[Nom]])</f>
        <v>5540 - Comité féministe de l'ADÉPUM</v>
      </c>
      <c r="D72" s="5" t="s">
        <v>79</v>
      </c>
    </row>
    <row r="73" spans="1:4" ht="18" customHeight="1" x14ac:dyDescent="0.35">
      <c r="A73" s="3">
        <v>5545</v>
      </c>
      <c r="B73" s="5" t="s">
        <v>93</v>
      </c>
      <c r="C73" s="5" t="str">
        <f>CONCATENATE(Tableau3[[#This Row],[Numéro]]," - ",Tableau3[[#This Row],[Nom]])</f>
        <v>5545 - Symposium de philosophie féministe</v>
      </c>
      <c r="D73" s="5" t="s">
        <v>79</v>
      </c>
    </row>
    <row r="74" spans="1:4" ht="18" customHeight="1" x14ac:dyDescent="0.35">
      <c r="A74" s="3">
        <v>5550</v>
      </c>
      <c r="B74" s="5" t="s">
        <v>94</v>
      </c>
      <c r="C74" s="26" t="str">
        <f>CONCATENATE(Tableau3[[#This Row],[Numéro]]," - ",Tableau3[[#This Row],[Nom]])</f>
        <v>5550 - PhiloSitué-es (Fillosophie)</v>
      </c>
      <c r="D74" s="5" t="s">
        <v>79</v>
      </c>
    </row>
    <row r="75" spans="1:4" ht="18" customHeight="1" x14ac:dyDescent="0.35">
      <c r="A75" s="3">
        <v>5560</v>
      </c>
      <c r="B75" s="5" t="s">
        <v>75</v>
      </c>
      <c r="C75" s="26" t="str">
        <f>CONCATENATE(Tableau3[[#This Row],[Numéro]]," - ",Tableau3[[#This Row],[Nom]])</f>
        <v>5560 - Assemblées générales</v>
      </c>
      <c r="D75" s="5" t="s">
        <v>79</v>
      </c>
    </row>
    <row r="76" spans="1:4" ht="18" customHeight="1" x14ac:dyDescent="0.35">
      <c r="A76" s="3">
        <v>5570</v>
      </c>
      <c r="B76" s="5" t="s">
        <v>76</v>
      </c>
      <c r="C76" s="26" t="str">
        <f>CONCATENATE(Tableau3[[#This Row],[Numéro]]," - ",Tableau3[[#This Row],[Nom]])</f>
        <v>5570 - Café et thé</v>
      </c>
      <c r="D76" s="5" t="s">
        <v>79</v>
      </c>
    </row>
    <row r="77" spans="1:4" ht="18" customHeight="1" x14ac:dyDescent="0.35">
      <c r="A77" s="3">
        <v>5580</v>
      </c>
      <c r="B77" s="5" t="s">
        <v>77</v>
      </c>
      <c r="C77" s="26" t="str">
        <f>CONCATENATE(Tableau3[[#This Row],[Numéro]]," - ",Tableau3[[#This Row],[Nom]])</f>
        <v>5580 - Cadeaux aux secrétaires du Département de philosophie</v>
      </c>
      <c r="D77" s="5" t="s">
        <v>79</v>
      </c>
    </row>
  </sheetData>
  <sheetProtection selectLockedCells="1" selectUnlockedCells="1"/>
  <phoneticPr fontId="11" type="noConversion"/>
  <printOptions horizontalCentered="1"/>
  <pageMargins left="0.5" right="0.5" top="0.5" bottom="0.5" header="0" footer="0.3"/>
  <pageSetup orientation="portrait" verticalDpi="300" r:id="rId1"/>
  <headerFooter>
    <oddFooter>&amp;C&amp;"Arial,Regular"&amp;8&amp;K000000Plan comptable_x000D_Page &amp;P de &amp;N</oddFoot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theme="8"/>
  </sheetPr>
  <dimension ref="A1:R126"/>
  <sheetViews>
    <sheetView zoomScaleNormal="100" workbookViewId="0">
      <pane ySplit="5" topLeftCell="A62" activePane="bottomLeft" state="frozen"/>
      <selection activeCell="D3" sqref="D3"/>
      <selection pane="bottomLeft" activeCell="A69" sqref="A69"/>
    </sheetView>
  </sheetViews>
  <sheetFormatPr defaultColWidth="10.83203125" defaultRowHeight="12.5" x14ac:dyDescent="0.25"/>
  <cols>
    <col min="1" max="1" width="50.75" style="34" bestFit="1" customWidth="1"/>
    <col min="2" max="2" width="14.58203125" style="28" hidden="1" customWidth="1"/>
    <col min="3" max="3" width="2.33203125" style="28" hidden="1" customWidth="1"/>
    <col min="4" max="4" width="14.58203125" style="28" hidden="1" customWidth="1"/>
    <col min="5" max="5" width="2.33203125" style="28" hidden="1" customWidth="1"/>
    <col min="6" max="6" width="14.58203125" style="28" hidden="1" customWidth="1"/>
    <col min="7" max="7" width="3.75" style="28" hidden="1" customWidth="1"/>
    <col min="8" max="8" width="15" style="28" hidden="1" customWidth="1"/>
    <col min="9" max="9" width="2.83203125" style="28" hidden="1" customWidth="1"/>
    <col min="10" max="10" width="13.75" style="28" hidden="1" customWidth="1"/>
    <col min="11" max="11" width="2.83203125" style="167" hidden="1" customWidth="1"/>
    <col min="12" max="12" width="11.83203125" style="28" hidden="1" customWidth="1"/>
    <col min="13" max="13" width="2.83203125" style="167" hidden="1" customWidth="1"/>
    <col min="14" max="14" width="13.25" style="167" hidden="1" customWidth="1"/>
    <col min="15" max="15" width="3.08203125" style="28" customWidth="1"/>
    <col min="16" max="16" width="13.25" style="167" customWidth="1"/>
    <col min="17" max="17" width="3.08203125" style="167" customWidth="1"/>
    <col min="18" max="18" width="13.25" style="167" customWidth="1"/>
    <col min="19" max="16384" width="10.83203125" style="28"/>
  </cols>
  <sheetData>
    <row r="1" spans="1:18" ht="18" x14ac:dyDescent="0.25">
      <c r="A1" s="27" t="s">
        <v>95</v>
      </c>
      <c r="B1" s="167"/>
      <c r="C1" s="167"/>
      <c r="D1" s="167"/>
      <c r="E1" s="167"/>
      <c r="F1" s="167"/>
      <c r="G1" s="167"/>
      <c r="H1" s="167"/>
      <c r="I1" s="167"/>
      <c r="J1" s="167"/>
      <c r="L1" s="167"/>
      <c r="O1" s="167"/>
    </row>
    <row r="2" spans="1:18" ht="15.5" x14ac:dyDescent="0.25">
      <c r="A2" s="12" t="s">
        <v>96</v>
      </c>
      <c r="B2" s="167"/>
      <c r="C2" s="167"/>
      <c r="D2" s="167"/>
      <c r="E2" s="167"/>
      <c r="F2" s="167"/>
      <c r="G2" s="167"/>
      <c r="H2" s="167"/>
      <c r="I2" s="167"/>
      <c r="J2" s="167"/>
      <c r="L2" s="167"/>
      <c r="O2" s="167"/>
    </row>
    <row r="5" spans="1:18" s="16" customFormat="1" ht="15.5" x14ac:dyDescent="0.35">
      <c r="A5" s="10"/>
      <c r="B5" s="15" t="s">
        <v>97</v>
      </c>
      <c r="D5" s="15" t="s">
        <v>98</v>
      </c>
      <c r="F5" s="15" t="s">
        <v>99</v>
      </c>
      <c r="H5" s="191" t="s">
        <v>100</v>
      </c>
      <c r="J5" s="220" t="s">
        <v>101</v>
      </c>
      <c r="L5" s="220" t="s">
        <v>102</v>
      </c>
      <c r="N5" s="220" t="s">
        <v>103</v>
      </c>
      <c r="P5" s="220" t="s">
        <v>104</v>
      </c>
      <c r="R5" s="220" t="s">
        <v>105</v>
      </c>
    </row>
    <row r="6" spans="1:18" x14ac:dyDescent="0.25">
      <c r="B6" s="167"/>
      <c r="C6" s="167"/>
      <c r="D6" s="167"/>
      <c r="E6" s="167"/>
      <c r="F6" s="167"/>
      <c r="G6" s="167"/>
      <c r="H6" s="167"/>
      <c r="I6" s="167"/>
      <c r="J6" s="167"/>
      <c r="L6" s="167"/>
      <c r="O6" s="167"/>
    </row>
    <row r="7" spans="1:18" ht="13" x14ac:dyDescent="0.25">
      <c r="A7" s="29"/>
      <c r="B7" s="167"/>
      <c r="C7" s="167"/>
      <c r="D7" s="167"/>
      <c r="E7" s="167"/>
      <c r="F7" s="167"/>
      <c r="G7" s="167"/>
      <c r="H7" s="167"/>
      <c r="I7" s="167"/>
      <c r="J7" s="167"/>
      <c r="L7" s="167"/>
      <c r="O7" s="167"/>
    </row>
    <row r="8" spans="1:18" x14ac:dyDescent="0.25">
      <c r="B8" s="167"/>
      <c r="C8" s="167"/>
      <c r="D8" s="167"/>
      <c r="E8" s="167"/>
      <c r="F8" s="167"/>
      <c r="G8" s="167"/>
      <c r="H8" s="167"/>
      <c r="I8" s="167"/>
      <c r="J8" s="167"/>
      <c r="L8" s="167"/>
      <c r="O8" s="167"/>
    </row>
    <row r="9" spans="1:18" s="8" customFormat="1" ht="15.5" x14ac:dyDescent="0.35">
      <c r="A9" s="113" t="s">
        <v>106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P9" s="115"/>
      <c r="R9" s="115"/>
    </row>
    <row r="10" spans="1:18" x14ac:dyDescent="0.25">
      <c r="B10" s="167"/>
      <c r="C10" s="167"/>
      <c r="D10" s="167"/>
      <c r="E10" s="167"/>
      <c r="F10" s="167"/>
      <c r="G10" s="167"/>
      <c r="H10" s="167"/>
      <c r="I10" s="167"/>
      <c r="J10" s="167"/>
      <c r="L10" s="167"/>
      <c r="O10" s="167"/>
    </row>
    <row r="11" spans="1:18" ht="13" x14ac:dyDescent="0.25">
      <c r="A11" s="30" t="s">
        <v>107</v>
      </c>
      <c r="B11" s="167"/>
      <c r="C11" s="167"/>
      <c r="D11" s="167"/>
      <c r="E11" s="167"/>
      <c r="F11" s="167"/>
      <c r="G11" s="167"/>
      <c r="H11" s="167"/>
      <c r="I11" s="167"/>
      <c r="J11" s="167"/>
      <c r="L11" s="167"/>
      <c r="O11" s="167"/>
    </row>
    <row r="12" spans="1:18" x14ac:dyDescent="0.25">
      <c r="A12" s="103" t="str">
        <f>'PLAN COMPTABLE'!C5</f>
        <v>4100 - Solde reporté au début</v>
      </c>
      <c r="B12" s="117">
        <f>5573.3</f>
        <v>5573.3</v>
      </c>
      <c r="C12" s="167"/>
      <c r="D12" s="79">
        <v>2521.5500000000002</v>
      </c>
      <c r="E12" s="167"/>
      <c r="F12" s="79">
        <v>5670.9</v>
      </c>
      <c r="G12" s="167"/>
      <c r="H12" s="79">
        <v>5539.3</v>
      </c>
      <c r="I12" s="167"/>
      <c r="J12" s="79">
        <v>11399.42</v>
      </c>
      <c r="L12" s="79">
        <v>14362.58</v>
      </c>
      <c r="N12" s="79">
        <v>14490.68</v>
      </c>
      <c r="O12" s="167"/>
      <c r="P12" s="236">
        <v>15360</v>
      </c>
      <c r="R12" s="236">
        <v>15287</v>
      </c>
    </row>
    <row r="13" spans="1:18" x14ac:dyDescent="0.25">
      <c r="A13" s="37" t="str">
        <f>'PLAN COMPTABLE'!C6</f>
        <v>4110 - Cotisations étudiantes (automne)</v>
      </c>
      <c r="B13" s="116">
        <v>2614.5</v>
      </c>
      <c r="C13" s="167"/>
      <c r="D13" s="32">
        <v>5205</v>
      </c>
      <c r="E13" s="167"/>
      <c r="F13" s="32">
        <v>2488.5</v>
      </c>
      <c r="G13" s="167"/>
      <c r="H13" s="79">
        <v>2400</v>
      </c>
      <c r="I13" s="167"/>
      <c r="J13" s="79">
        <v>2500</v>
      </c>
      <c r="L13" s="79">
        <v>2500</v>
      </c>
      <c r="N13" s="79">
        <v>2500</v>
      </c>
      <c r="O13" s="167"/>
      <c r="P13" s="79">
        <v>2500</v>
      </c>
      <c r="R13" s="79">
        <v>2500</v>
      </c>
    </row>
    <row r="14" spans="1:18" x14ac:dyDescent="0.25">
      <c r="A14" s="37" t="str">
        <f>'PLAN COMPTABLE'!C7</f>
        <v>4111 - Cotisations étudiantes (hiver)</v>
      </c>
      <c r="B14" s="116">
        <v>2583</v>
      </c>
      <c r="C14" s="167"/>
      <c r="D14" s="32">
        <v>3500</v>
      </c>
      <c r="E14" s="167"/>
      <c r="F14" s="32">
        <v>3600.5</v>
      </c>
      <c r="G14" s="167"/>
      <c r="H14" s="79">
        <v>2500</v>
      </c>
      <c r="I14" s="167"/>
      <c r="J14" s="79">
        <v>2500</v>
      </c>
      <c r="L14" s="79">
        <v>2500</v>
      </c>
      <c r="N14" s="79">
        <v>2500</v>
      </c>
      <c r="O14" s="167"/>
      <c r="P14" s="79">
        <v>2500</v>
      </c>
      <c r="R14" s="79">
        <v>2500</v>
      </c>
    </row>
    <row r="15" spans="1:18" x14ac:dyDescent="0.25">
      <c r="A15" s="37" t="str">
        <f>'PLAN COMPTABLE'!C8</f>
        <v>4112 - Cotisations étudiantes (été)</v>
      </c>
      <c r="B15" s="116">
        <v>1417.5</v>
      </c>
      <c r="C15" s="167"/>
      <c r="D15" s="32">
        <v>2000</v>
      </c>
      <c r="E15" s="167"/>
      <c r="F15" s="32">
        <v>2533.5</v>
      </c>
      <c r="G15" s="167"/>
      <c r="H15" s="79">
        <v>2500</v>
      </c>
      <c r="I15" s="167"/>
      <c r="J15" s="79">
        <v>2500</v>
      </c>
      <c r="L15" s="79">
        <v>2500</v>
      </c>
      <c r="N15" s="79">
        <v>2500</v>
      </c>
      <c r="O15" s="167"/>
      <c r="P15" s="79">
        <v>2500</v>
      </c>
      <c r="R15" s="79">
        <v>2500</v>
      </c>
    </row>
    <row r="16" spans="1:18" x14ac:dyDescent="0.25">
      <c r="A16" s="37" t="str">
        <f>'PLAN COMPTABLE'!C9</f>
        <v>4113 - Cotisations étudiantes (remises antérieures)</v>
      </c>
      <c r="B16" s="116">
        <v>4698.43</v>
      </c>
      <c r="C16" s="167"/>
      <c r="D16" s="32">
        <v>355</v>
      </c>
      <c r="E16" s="167"/>
      <c r="F16" s="32">
        <v>798</v>
      </c>
      <c r="G16" s="167"/>
      <c r="H16" s="79">
        <v>800</v>
      </c>
      <c r="I16" s="167"/>
      <c r="J16" s="79">
        <v>500</v>
      </c>
      <c r="L16" s="79">
        <v>500</v>
      </c>
      <c r="N16" s="79">
        <v>500</v>
      </c>
      <c r="O16" s="167"/>
      <c r="P16" s="79">
        <v>500</v>
      </c>
      <c r="R16" s="79">
        <v>500</v>
      </c>
    </row>
    <row r="17" spans="1:18" x14ac:dyDescent="0.25">
      <c r="A17" s="37" t="str">
        <f>'PLAN COMPTABLE'!C10</f>
        <v>4120 - Commandites</v>
      </c>
      <c r="B17" s="116">
        <v>0</v>
      </c>
      <c r="C17" s="167"/>
      <c r="D17" s="32">
        <v>0</v>
      </c>
      <c r="E17" s="167"/>
      <c r="F17" s="32">
        <v>0</v>
      </c>
      <c r="G17" s="167"/>
      <c r="H17" s="79">
        <v>0</v>
      </c>
      <c r="I17" s="167"/>
      <c r="J17" s="79">
        <v>0</v>
      </c>
      <c r="L17" s="79">
        <v>0</v>
      </c>
      <c r="N17" s="79">
        <v>0</v>
      </c>
      <c r="O17" s="167"/>
      <c r="P17" s="79">
        <v>0</v>
      </c>
      <c r="R17" s="79">
        <v>0</v>
      </c>
    </row>
    <row r="18" spans="1:18" x14ac:dyDescent="0.25">
      <c r="A18" s="37" t="str">
        <f>'PLAN COMPTABLE'!C11</f>
        <v>4130 - Bourses et subventions</v>
      </c>
      <c r="B18" s="116">
        <v>0</v>
      </c>
      <c r="C18" s="167"/>
      <c r="D18" s="32">
        <v>2000</v>
      </c>
      <c r="E18" s="167"/>
      <c r="F18" s="32">
        <v>300</v>
      </c>
      <c r="G18" s="167"/>
      <c r="H18" s="79">
        <v>300</v>
      </c>
      <c r="I18" s="167"/>
      <c r="J18" s="79">
        <v>300</v>
      </c>
      <c r="L18" s="79">
        <v>300</v>
      </c>
      <c r="N18" s="79">
        <v>300</v>
      </c>
      <c r="O18" s="167"/>
      <c r="P18" s="79">
        <v>300</v>
      </c>
      <c r="R18" s="79">
        <v>300</v>
      </c>
    </row>
    <row r="19" spans="1:18" x14ac:dyDescent="0.25">
      <c r="A19" s="37" t="str">
        <f>'PLAN COMPTABLE'!C12</f>
        <v>4199 - Autres revenus d'administration</v>
      </c>
      <c r="B19" s="116">
        <v>0</v>
      </c>
      <c r="C19" s="167"/>
      <c r="D19" s="32">
        <v>0</v>
      </c>
      <c r="E19" s="167"/>
      <c r="F19" s="32">
        <v>0</v>
      </c>
      <c r="G19" s="167"/>
      <c r="H19" s="79">
        <v>0</v>
      </c>
      <c r="I19" s="167"/>
      <c r="J19" s="79">
        <v>0</v>
      </c>
      <c r="L19" s="79">
        <v>0</v>
      </c>
      <c r="N19" s="79">
        <v>0</v>
      </c>
      <c r="O19" s="167"/>
      <c r="P19" s="79">
        <v>0</v>
      </c>
      <c r="R19" s="79">
        <v>0</v>
      </c>
    </row>
    <row r="20" spans="1:18" ht="13" x14ac:dyDescent="0.3">
      <c r="A20" s="30" t="s">
        <v>108</v>
      </c>
      <c r="B20" s="142">
        <f>SUM(B12:B19)</f>
        <v>16886.73</v>
      </c>
      <c r="C20" s="167"/>
      <c r="D20" s="33">
        <f>SUM(D12:D19)</f>
        <v>15581.55</v>
      </c>
      <c r="E20" s="167"/>
      <c r="F20" s="33">
        <f>SUM(F13:F19)</f>
        <v>9720.5</v>
      </c>
      <c r="G20" s="167"/>
      <c r="H20" s="192">
        <f>SUM(H12:H19)</f>
        <v>14039.3</v>
      </c>
      <c r="I20" s="221"/>
      <c r="J20" s="192">
        <f t="shared" ref="J20" si="0">SUM(J12:J19)</f>
        <v>19699.419999999998</v>
      </c>
      <c r="K20" s="221"/>
      <c r="L20" s="192">
        <f t="shared" ref="L20:N20" si="1">SUM(L12:L19)</f>
        <v>22662.58</v>
      </c>
      <c r="M20" s="221"/>
      <c r="N20" s="192">
        <f t="shared" si="1"/>
        <v>22790.68</v>
      </c>
      <c r="O20" s="167"/>
      <c r="P20" s="192">
        <f t="shared" ref="P20:R20" si="2">SUM(P12:P19)</f>
        <v>23660</v>
      </c>
      <c r="R20" s="192">
        <f t="shared" si="2"/>
        <v>23587</v>
      </c>
    </row>
    <row r="21" spans="1:18" x14ac:dyDescent="0.25">
      <c r="B21" s="35"/>
      <c r="C21" s="167"/>
      <c r="D21" s="35"/>
      <c r="E21" s="167"/>
      <c r="F21" s="35"/>
      <c r="G21" s="167"/>
      <c r="H21" s="167"/>
      <c r="I21" s="167"/>
      <c r="J21" s="167"/>
      <c r="L21" s="167"/>
      <c r="O21" s="167"/>
    </row>
    <row r="22" spans="1:18" ht="13" x14ac:dyDescent="0.25">
      <c r="A22" s="30" t="s">
        <v>109</v>
      </c>
      <c r="B22" s="36"/>
      <c r="C22" s="167"/>
      <c r="D22" s="36"/>
      <c r="E22" s="167"/>
      <c r="F22" s="36"/>
      <c r="G22" s="167"/>
      <c r="H22" s="167"/>
      <c r="I22" s="167"/>
      <c r="J22" s="167"/>
      <c r="L22" s="167"/>
      <c r="O22" s="167"/>
    </row>
    <row r="23" spans="1:18" x14ac:dyDescent="0.25">
      <c r="A23" s="37" t="str">
        <f>'PLAN COMPTABLE'!C13</f>
        <v>4200 - 5@7</v>
      </c>
      <c r="B23" s="116"/>
      <c r="C23" s="167"/>
      <c r="D23" s="32">
        <v>0</v>
      </c>
      <c r="E23" s="167"/>
      <c r="F23" s="32">
        <v>0</v>
      </c>
      <c r="G23" s="167"/>
      <c r="H23" s="79">
        <v>0</v>
      </c>
      <c r="I23" s="167"/>
      <c r="J23" s="79">
        <v>0</v>
      </c>
      <c r="L23" s="79">
        <v>0</v>
      </c>
      <c r="N23" s="79">
        <v>0</v>
      </c>
      <c r="O23" s="167"/>
      <c r="P23" s="79">
        <v>0</v>
      </c>
      <c r="R23" s="79">
        <v>0</v>
      </c>
    </row>
    <row r="24" spans="1:18" x14ac:dyDescent="0.25">
      <c r="A24" s="37" t="str">
        <f>'PLAN COMPTABLE'!C14</f>
        <v>4210 - Matériel promotionnel</v>
      </c>
      <c r="B24" s="116"/>
      <c r="C24" s="167"/>
      <c r="D24" s="32">
        <v>0</v>
      </c>
      <c r="E24" s="167"/>
      <c r="F24" s="32">
        <v>0</v>
      </c>
      <c r="G24" s="167"/>
      <c r="H24" s="79">
        <v>0</v>
      </c>
      <c r="I24" s="167"/>
      <c r="J24" s="79">
        <v>0</v>
      </c>
      <c r="L24" s="79">
        <v>0</v>
      </c>
      <c r="N24" s="79">
        <v>0</v>
      </c>
      <c r="O24" s="167"/>
      <c r="P24" s="79">
        <v>0</v>
      </c>
      <c r="R24" s="79">
        <v>0</v>
      </c>
    </row>
    <row r="25" spans="1:18" x14ac:dyDescent="0.25">
      <c r="A25" s="37" t="str">
        <f>'PLAN COMPTABLE'!C15</f>
        <v>4220 - Bourses - Colloque 1er Cycle</v>
      </c>
      <c r="B25" s="116"/>
      <c r="C25" s="167"/>
      <c r="D25" s="32">
        <v>0</v>
      </c>
      <c r="E25" s="167"/>
      <c r="F25" s="32">
        <v>0</v>
      </c>
      <c r="G25" s="167"/>
      <c r="H25" s="79">
        <v>0</v>
      </c>
      <c r="I25" s="167"/>
      <c r="J25" s="79">
        <v>0</v>
      </c>
      <c r="L25" s="79">
        <v>0</v>
      </c>
      <c r="N25" s="79">
        <v>0</v>
      </c>
      <c r="O25" s="167"/>
      <c r="P25" s="79">
        <v>0</v>
      </c>
      <c r="R25" s="79">
        <v>0</v>
      </c>
    </row>
    <row r="26" spans="1:18" x14ac:dyDescent="0.25">
      <c r="A26" s="37" t="str">
        <f>'PLAN COMPTABLE'!C16</f>
        <v>4230 - Projets étudiants</v>
      </c>
      <c r="B26" s="116"/>
      <c r="C26" s="167"/>
      <c r="D26" s="32">
        <v>0</v>
      </c>
      <c r="E26" s="167"/>
      <c r="F26" s="32">
        <v>0</v>
      </c>
      <c r="G26" s="167"/>
      <c r="H26" s="79">
        <v>0</v>
      </c>
      <c r="I26" s="167"/>
      <c r="J26" s="79">
        <v>0</v>
      </c>
      <c r="L26" s="79">
        <v>0</v>
      </c>
      <c r="N26" s="79">
        <v>0</v>
      </c>
      <c r="O26" s="167"/>
      <c r="P26" s="79">
        <v>0</v>
      </c>
      <c r="R26" s="79">
        <v>0</v>
      </c>
    </row>
    <row r="27" spans="1:18" x14ac:dyDescent="0.25">
      <c r="A27" s="37" t="str">
        <f>'PLAN COMPTABLE'!C17</f>
        <v>4240 - Sports</v>
      </c>
      <c r="B27" s="116"/>
      <c r="C27" s="167"/>
      <c r="D27" s="32"/>
      <c r="E27" s="167"/>
      <c r="F27" s="32">
        <v>0</v>
      </c>
      <c r="G27" s="167"/>
      <c r="H27" s="79">
        <v>0</v>
      </c>
      <c r="I27" s="167"/>
      <c r="J27" s="79">
        <v>0</v>
      </c>
      <c r="L27" s="79">
        <v>0</v>
      </c>
      <c r="N27" s="79">
        <v>0</v>
      </c>
      <c r="O27" s="167"/>
      <c r="P27" s="79">
        <v>0</v>
      </c>
      <c r="R27" s="79">
        <v>0</v>
      </c>
    </row>
    <row r="28" spans="1:18" x14ac:dyDescent="0.25">
      <c r="A28" s="37" t="str">
        <f>'PLAN COMPTABLE'!C18</f>
        <v>4250 - Autres activités socio-culturelles</v>
      </c>
      <c r="B28" s="116"/>
      <c r="C28" s="167"/>
      <c r="D28" s="32">
        <v>0</v>
      </c>
      <c r="E28" s="167"/>
      <c r="F28" s="32">
        <v>0</v>
      </c>
      <c r="G28" s="167"/>
      <c r="H28" s="79">
        <v>0</v>
      </c>
      <c r="I28" s="167"/>
      <c r="J28" s="79">
        <v>0</v>
      </c>
      <c r="L28" s="79">
        <v>0</v>
      </c>
      <c r="N28" s="79">
        <v>0</v>
      </c>
      <c r="O28" s="167"/>
      <c r="P28" s="79">
        <v>0</v>
      </c>
      <c r="R28" s="79">
        <v>0</v>
      </c>
    </row>
    <row r="29" spans="1:18" x14ac:dyDescent="0.25">
      <c r="A29" s="37" t="str">
        <f>'PLAN COMPTABLE'!C19</f>
        <v>4260 - Activités d'accueil</v>
      </c>
      <c r="B29" s="116"/>
      <c r="C29" s="167"/>
      <c r="D29" s="32">
        <v>0</v>
      </c>
      <c r="E29" s="167"/>
      <c r="F29" s="32">
        <v>0</v>
      </c>
      <c r="G29" s="167"/>
      <c r="H29" s="79">
        <v>0</v>
      </c>
      <c r="I29" s="167"/>
      <c r="J29" s="79">
        <v>0</v>
      </c>
      <c r="L29" s="79">
        <v>0</v>
      </c>
      <c r="N29" s="79">
        <v>0</v>
      </c>
      <c r="O29" s="167"/>
      <c r="P29" s="79">
        <v>0</v>
      </c>
      <c r="R29" s="79">
        <v>0</v>
      </c>
    </row>
    <row r="30" spans="1:18" x14ac:dyDescent="0.25">
      <c r="A30" s="37" t="str">
        <f>'PLAN COMPTABLE'!C20</f>
        <v>4270 - Party de mi-session (automne)</v>
      </c>
      <c r="B30" s="116"/>
      <c r="C30" s="167"/>
      <c r="D30" s="32">
        <v>0</v>
      </c>
      <c r="E30" s="167"/>
      <c r="F30" s="32">
        <v>0</v>
      </c>
      <c r="G30" s="167"/>
      <c r="H30" s="79">
        <v>0</v>
      </c>
      <c r="I30" s="167"/>
      <c r="J30" s="79">
        <v>0</v>
      </c>
      <c r="L30" s="79">
        <v>0</v>
      </c>
      <c r="N30" s="79">
        <v>0</v>
      </c>
      <c r="O30" s="167"/>
      <c r="P30" s="79">
        <v>0</v>
      </c>
      <c r="R30" s="79">
        <v>0</v>
      </c>
    </row>
    <row r="31" spans="1:18" x14ac:dyDescent="0.25">
      <c r="A31" s="37" t="str">
        <f>'PLAN COMPTABLE'!C21</f>
        <v>4271 - Party de fin de session (automne)</v>
      </c>
      <c r="B31" s="116"/>
      <c r="C31" s="167"/>
      <c r="D31" s="32">
        <v>0</v>
      </c>
      <c r="E31" s="167"/>
      <c r="F31" s="32">
        <v>0</v>
      </c>
      <c r="G31" s="167"/>
      <c r="H31" s="79">
        <v>0</v>
      </c>
      <c r="I31" s="167"/>
      <c r="J31" s="79">
        <v>0</v>
      </c>
      <c r="L31" s="79">
        <v>0</v>
      </c>
      <c r="N31" s="79">
        <v>0</v>
      </c>
      <c r="O31" s="167"/>
      <c r="P31" s="79">
        <v>0</v>
      </c>
      <c r="R31" s="79">
        <v>0</v>
      </c>
    </row>
    <row r="32" spans="1:18" x14ac:dyDescent="0.25">
      <c r="A32" s="37" t="str">
        <f>'PLAN COMPTABLE'!C22</f>
        <v>4272 - Party de début de session (hiver)</v>
      </c>
      <c r="B32" s="116"/>
      <c r="C32" s="167"/>
      <c r="D32" s="32">
        <v>0</v>
      </c>
      <c r="E32" s="167"/>
      <c r="F32" s="32">
        <v>0</v>
      </c>
      <c r="G32" s="167"/>
      <c r="H32" s="79">
        <v>0</v>
      </c>
      <c r="I32" s="167"/>
      <c r="J32" s="79">
        <v>0</v>
      </c>
      <c r="L32" s="79">
        <v>0</v>
      </c>
      <c r="N32" s="79">
        <v>0</v>
      </c>
      <c r="O32" s="167"/>
      <c r="P32" s="79">
        <v>0</v>
      </c>
      <c r="R32" s="79">
        <v>0</v>
      </c>
    </row>
    <row r="33" spans="1:18" x14ac:dyDescent="0.25">
      <c r="A33" s="37" t="str">
        <f>'PLAN COMPTABLE'!C23</f>
        <v>4273 - Party de mi-session (hiver)</v>
      </c>
      <c r="B33" s="116"/>
      <c r="C33" s="167"/>
      <c r="D33" s="32"/>
      <c r="E33" s="167"/>
      <c r="F33" s="32">
        <v>0</v>
      </c>
      <c r="G33" s="167"/>
      <c r="H33" s="79">
        <v>0</v>
      </c>
      <c r="I33" s="167"/>
      <c r="J33" s="79">
        <v>0</v>
      </c>
      <c r="L33" s="79">
        <v>0</v>
      </c>
      <c r="N33" s="79">
        <v>0</v>
      </c>
      <c r="O33" s="167"/>
      <c r="P33" s="79">
        <v>0</v>
      </c>
      <c r="R33" s="79">
        <v>0</v>
      </c>
    </row>
    <row r="34" spans="1:18" x14ac:dyDescent="0.25">
      <c r="A34" s="37" t="str">
        <f>'PLAN COMPTABLE'!C24</f>
        <v>4274 - Party de fin de session (hiver)</v>
      </c>
      <c r="B34" s="116"/>
      <c r="C34" s="167"/>
      <c r="D34" s="32"/>
      <c r="E34" s="167"/>
      <c r="F34" s="32">
        <v>0</v>
      </c>
      <c r="G34" s="167"/>
      <c r="H34" s="79">
        <v>0</v>
      </c>
      <c r="I34" s="167"/>
      <c r="J34" s="79">
        <v>0</v>
      </c>
      <c r="L34" s="79">
        <v>0</v>
      </c>
      <c r="N34" s="79">
        <v>0</v>
      </c>
      <c r="O34" s="167"/>
      <c r="P34" s="79">
        <v>0</v>
      </c>
      <c r="R34" s="79">
        <v>0</v>
      </c>
    </row>
    <row r="35" spans="1:18" ht="13" x14ac:dyDescent="0.3">
      <c r="A35" s="30" t="s">
        <v>110</v>
      </c>
      <c r="B35" s="33">
        <f>SUM(B23:B34)</f>
        <v>0</v>
      </c>
      <c r="C35" s="167"/>
      <c r="D35" s="33">
        <f>SUM(D23:D34)</f>
        <v>0</v>
      </c>
      <c r="E35" s="167"/>
      <c r="F35" s="33">
        <f>SUM(F23:F34)</f>
        <v>0</v>
      </c>
      <c r="G35" s="167"/>
      <c r="H35" s="192">
        <f>SUM(H23:H34)</f>
        <v>0</v>
      </c>
      <c r="I35" s="221"/>
      <c r="J35" s="192">
        <f t="shared" ref="J35" si="3">SUM(J23:J34)</f>
        <v>0</v>
      </c>
      <c r="K35" s="221"/>
      <c r="L35" s="192">
        <f t="shared" ref="L35:N35" si="4">SUM(L23:L34)</f>
        <v>0</v>
      </c>
      <c r="M35" s="221"/>
      <c r="N35" s="192">
        <f t="shared" si="4"/>
        <v>0</v>
      </c>
      <c r="O35" s="167"/>
      <c r="P35" s="192">
        <f t="shared" ref="P35:R35" si="5">SUM(P23:P34)</f>
        <v>0</v>
      </c>
      <c r="R35" s="192">
        <f t="shared" si="5"/>
        <v>0</v>
      </c>
    </row>
    <row r="36" spans="1:18" x14ac:dyDescent="0.25">
      <c r="B36" s="35"/>
      <c r="C36" s="167"/>
      <c r="D36" s="35"/>
      <c r="E36" s="167"/>
      <c r="F36" s="35"/>
      <c r="G36" s="167"/>
      <c r="H36" s="167"/>
      <c r="I36" s="167"/>
      <c r="J36" s="167"/>
      <c r="L36" s="167"/>
      <c r="O36" s="167"/>
    </row>
    <row r="37" spans="1:18" ht="13" x14ac:dyDescent="0.25">
      <c r="A37" s="30" t="s">
        <v>111</v>
      </c>
      <c r="B37" s="36"/>
      <c r="C37" s="167"/>
      <c r="D37" s="36"/>
      <c r="E37" s="167"/>
      <c r="F37" s="36"/>
      <c r="G37" s="167"/>
      <c r="H37" s="167"/>
      <c r="I37" s="167"/>
      <c r="J37" s="167"/>
      <c r="L37" s="167"/>
      <c r="O37" s="167"/>
    </row>
    <row r="38" spans="1:18" x14ac:dyDescent="0.25">
      <c r="A38" s="37" t="str">
        <f>'PLAN COMPTABLE'!C25</f>
        <v>4300 - Colloque des Cycles supérieurs</v>
      </c>
      <c r="B38" s="32">
        <v>0</v>
      </c>
      <c r="C38" s="167"/>
      <c r="D38" s="32">
        <v>0</v>
      </c>
      <c r="E38" s="167"/>
      <c r="F38" s="32">
        <v>0</v>
      </c>
      <c r="G38" s="167"/>
      <c r="H38" s="79">
        <v>0</v>
      </c>
      <c r="I38" s="167"/>
      <c r="J38" s="79">
        <v>0</v>
      </c>
      <c r="L38" s="79">
        <v>0</v>
      </c>
      <c r="N38" s="79">
        <v>0</v>
      </c>
      <c r="O38" s="167"/>
      <c r="P38" s="79">
        <v>0</v>
      </c>
      <c r="R38" s="79">
        <v>0</v>
      </c>
    </row>
    <row r="39" spans="1:18" x14ac:dyDescent="0.25">
      <c r="A39" s="37" t="str">
        <f>'PLAN COMPTABLE'!C26</f>
        <v>4310 - Bourses - Colloque Cycles supérieurs</v>
      </c>
      <c r="B39" s="32">
        <v>0</v>
      </c>
      <c r="C39" s="167"/>
      <c r="D39" s="32">
        <v>0</v>
      </c>
      <c r="E39" s="167"/>
      <c r="F39" s="32">
        <v>0</v>
      </c>
      <c r="G39" s="167"/>
      <c r="H39" s="79">
        <v>0</v>
      </c>
      <c r="I39" s="167"/>
      <c r="J39" s="79">
        <v>0</v>
      </c>
      <c r="L39" s="79">
        <v>0</v>
      </c>
      <c r="N39" s="79">
        <v>750</v>
      </c>
      <c r="O39" s="167"/>
      <c r="P39" s="79">
        <v>750</v>
      </c>
      <c r="R39" s="79">
        <v>750</v>
      </c>
    </row>
    <row r="40" spans="1:18" x14ac:dyDescent="0.25">
      <c r="A40" s="37" t="str">
        <f>'PLAN COMPTABLE'!C27</f>
        <v>4320 - Séminaire étudiant</v>
      </c>
      <c r="B40" s="32">
        <v>0</v>
      </c>
      <c r="C40" s="167"/>
      <c r="D40" s="32">
        <v>0</v>
      </c>
      <c r="E40" s="167"/>
      <c r="F40" s="32">
        <v>0</v>
      </c>
      <c r="G40" s="167"/>
      <c r="H40" s="79">
        <v>0</v>
      </c>
      <c r="I40" s="167"/>
      <c r="J40" s="79">
        <v>0</v>
      </c>
      <c r="L40" s="79">
        <v>0</v>
      </c>
      <c r="N40" s="79">
        <v>0</v>
      </c>
      <c r="O40" s="167"/>
      <c r="P40" s="79">
        <v>0</v>
      </c>
      <c r="R40" s="79">
        <v>0</v>
      </c>
    </row>
    <row r="41" spans="1:18" ht="13" x14ac:dyDescent="0.3">
      <c r="A41" s="30" t="s">
        <v>112</v>
      </c>
      <c r="B41" s="33">
        <f>SUM(B38:B40)</f>
        <v>0</v>
      </c>
      <c r="C41" s="167"/>
      <c r="D41" s="33">
        <f>SUM(D38:D40)</f>
        <v>0</v>
      </c>
      <c r="E41" s="167"/>
      <c r="F41" s="33">
        <f>SUM(F38:F40)</f>
        <v>0</v>
      </c>
      <c r="G41" s="167"/>
      <c r="H41" s="192">
        <f>SUM(H38:H40)</f>
        <v>0</v>
      </c>
      <c r="I41" s="167"/>
      <c r="J41" s="192">
        <f>SUM(J38:J40)</f>
        <v>0</v>
      </c>
      <c r="L41" s="192">
        <f>SUM(L38:L40)</f>
        <v>0</v>
      </c>
      <c r="N41" s="192">
        <f>SUM(N38:N40)</f>
        <v>750</v>
      </c>
      <c r="O41" s="167"/>
      <c r="P41" s="192">
        <f>SUM(P38:P40)</f>
        <v>750</v>
      </c>
      <c r="R41" s="192">
        <f>SUM(R38:R40)</f>
        <v>750</v>
      </c>
    </row>
    <row r="42" spans="1:18" s="8" customFormat="1" ht="15.5" x14ac:dyDescent="0.35">
      <c r="A42" s="30"/>
      <c r="B42" s="108"/>
      <c r="C42" s="167"/>
      <c r="D42" s="108"/>
      <c r="E42" s="167"/>
      <c r="F42" s="108"/>
    </row>
    <row r="43" spans="1:18" ht="13" x14ac:dyDescent="0.25">
      <c r="A43" s="109" t="s">
        <v>113</v>
      </c>
      <c r="B43" s="110"/>
      <c r="C43" s="168"/>
      <c r="D43" s="110"/>
      <c r="E43" s="168"/>
      <c r="F43" s="110"/>
      <c r="G43" s="167"/>
      <c r="H43" s="167"/>
      <c r="I43" s="167"/>
      <c r="J43" s="167"/>
      <c r="L43" s="167"/>
      <c r="O43" s="167"/>
    </row>
    <row r="44" spans="1:18" x14ac:dyDescent="0.25">
      <c r="A44" s="169" t="str">
        <f>'PLAN COMPTABLE'!C28</f>
        <v>4400 - Représentation externe</v>
      </c>
      <c r="B44" s="170">
        <v>0</v>
      </c>
      <c r="C44" s="168"/>
      <c r="D44" s="170">
        <v>0</v>
      </c>
      <c r="E44" s="168"/>
      <c r="F44" s="170">
        <v>0</v>
      </c>
      <c r="G44" s="167"/>
      <c r="H44" s="79">
        <v>0</v>
      </c>
      <c r="I44" s="167"/>
      <c r="J44" s="79">
        <v>0</v>
      </c>
      <c r="L44" s="79">
        <v>0</v>
      </c>
      <c r="N44" s="79">
        <v>0</v>
      </c>
      <c r="O44" s="167"/>
      <c r="P44" s="79">
        <v>0</v>
      </c>
      <c r="R44" s="79">
        <v>0</v>
      </c>
    </row>
    <row r="45" spans="1:18" s="8" customFormat="1" ht="15.5" x14ac:dyDescent="0.35">
      <c r="A45" s="169" t="str">
        <f>'PLAN COMPTABLE'!C29</f>
        <v>4410 - Cotisations ASSÉ</v>
      </c>
      <c r="B45" s="170"/>
      <c r="C45" s="168"/>
      <c r="D45" s="170"/>
      <c r="E45" s="168"/>
      <c r="F45" s="170">
        <v>0</v>
      </c>
      <c r="H45" s="1">
        <v>0</v>
      </c>
      <c r="J45" s="1">
        <v>0</v>
      </c>
      <c r="L45" s="1">
        <v>0</v>
      </c>
      <c r="N45" s="1">
        <v>0</v>
      </c>
      <c r="P45" s="1">
        <v>0</v>
      </c>
      <c r="R45" s="1">
        <v>0</v>
      </c>
    </row>
    <row r="46" spans="1:18" x14ac:dyDescent="0.25">
      <c r="A46" s="169" t="str">
        <f>'PLAN COMPTABLE'!C30</f>
        <v>4420 - Comité légal de l'ASSÉ</v>
      </c>
      <c r="B46" s="170">
        <v>0</v>
      </c>
      <c r="C46" s="168"/>
      <c r="D46" s="170">
        <v>0</v>
      </c>
      <c r="E46" s="168"/>
      <c r="F46" s="170">
        <v>0</v>
      </c>
      <c r="G46" s="167"/>
      <c r="H46" s="79">
        <v>0</v>
      </c>
      <c r="I46" s="167"/>
      <c r="J46" s="79">
        <v>0</v>
      </c>
      <c r="L46" s="79">
        <v>0</v>
      </c>
      <c r="N46" s="79">
        <v>0</v>
      </c>
      <c r="O46" s="167"/>
      <c r="P46" s="79">
        <v>0</v>
      </c>
      <c r="R46" s="79">
        <v>0</v>
      </c>
    </row>
    <row r="47" spans="1:18" x14ac:dyDescent="0.25">
      <c r="A47" s="169" t="str">
        <f>'PLAN COMPTABLE'!C31</f>
        <v>4430 - Mobilisation</v>
      </c>
      <c r="B47" s="170">
        <v>0</v>
      </c>
      <c r="C47" s="168"/>
      <c r="D47" s="170">
        <v>0</v>
      </c>
      <c r="E47" s="168"/>
      <c r="F47" s="170">
        <v>0</v>
      </c>
      <c r="G47" s="167"/>
      <c r="H47" s="79">
        <v>0</v>
      </c>
      <c r="I47" s="167"/>
      <c r="J47" s="79">
        <v>0</v>
      </c>
      <c r="L47" s="79">
        <v>0</v>
      </c>
      <c r="N47" s="79">
        <v>0</v>
      </c>
      <c r="O47" s="167"/>
      <c r="P47" s="79">
        <v>0</v>
      </c>
      <c r="R47" s="79">
        <v>0</v>
      </c>
    </row>
    <row r="48" spans="1:18" ht="13" x14ac:dyDescent="0.3">
      <c r="A48" s="109" t="s">
        <v>114</v>
      </c>
      <c r="B48" s="111">
        <v>0</v>
      </c>
      <c r="C48" s="168"/>
      <c r="D48" s="193">
        <v>0</v>
      </c>
      <c r="E48" s="168"/>
      <c r="F48" s="193">
        <f>SUM(F44:F47)</f>
        <v>0</v>
      </c>
      <c r="G48" s="167"/>
      <c r="H48" s="192">
        <f>SUM(H44:H47)</f>
        <v>0</v>
      </c>
      <c r="I48" s="167"/>
      <c r="J48" s="192">
        <f>SUM(J44:J47)</f>
        <v>0</v>
      </c>
      <c r="L48" s="192">
        <f>SUM(L44:L47)</f>
        <v>0</v>
      </c>
      <c r="N48" s="192">
        <f>SUM(N44:N47)</f>
        <v>0</v>
      </c>
      <c r="O48" s="167"/>
      <c r="P48" s="192">
        <f>SUM(P44:P47)</f>
        <v>0</v>
      </c>
      <c r="R48" s="192">
        <f>SUM(R44:R47)</f>
        <v>0</v>
      </c>
    </row>
    <row r="49" spans="1:18" ht="13" x14ac:dyDescent="0.25">
      <c r="A49" s="30"/>
      <c r="B49" s="108"/>
      <c r="C49" s="167"/>
      <c r="D49" s="108"/>
      <c r="E49" s="167"/>
      <c r="F49" s="108"/>
      <c r="G49" s="167"/>
      <c r="H49" s="167"/>
      <c r="I49" s="167"/>
      <c r="J49" s="167"/>
      <c r="L49" s="167"/>
      <c r="O49" s="167"/>
    </row>
    <row r="50" spans="1:18" ht="13" x14ac:dyDescent="0.25">
      <c r="A50" s="109" t="s">
        <v>115</v>
      </c>
      <c r="B50" s="110"/>
      <c r="C50" s="168"/>
      <c r="D50" s="110"/>
      <c r="E50" s="168"/>
      <c r="F50" s="110"/>
      <c r="G50" s="167"/>
      <c r="H50" s="167"/>
      <c r="I50" s="167"/>
      <c r="J50" s="167"/>
      <c r="L50" s="167"/>
      <c r="O50" s="167"/>
    </row>
    <row r="51" spans="1:18" x14ac:dyDescent="0.25">
      <c r="A51" s="169" t="str">
        <f>'PLAN COMPTABLE'!C32</f>
        <v>4500 - Ithaque</v>
      </c>
      <c r="B51" s="170">
        <v>0</v>
      </c>
      <c r="C51" s="168"/>
      <c r="D51" s="170">
        <v>0</v>
      </c>
      <c r="E51" s="168"/>
      <c r="F51" s="170">
        <v>0</v>
      </c>
      <c r="G51" s="167"/>
      <c r="H51" s="79">
        <v>0</v>
      </c>
      <c r="I51" s="167"/>
      <c r="J51" s="79">
        <v>0</v>
      </c>
      <c r="L51" s="79">
        <v>0</v>
      </c>
      <c r="N51" s="79">
        <v>0</v>
      </c>
      <c r="O51" s="167"/>
      <c r="P51" s="79">
        <v>0</v>
      </c>
      <c r="R51" s="79">
        <v>0</v>
      </c>
    </row>
    <row r="52" spans="1:18" x14ac:dyDescent="0.25">
      <c r="A52" s="169" t="str">
        <f>'PLAN COMPTABLE'!C33</f>
        <v>4510 - Philopolis</v>
      </c>
      <c r="B52" s="170">
        <v>0</v>
      </c>
      <c r="C52" s="168"/>
      <c r="D52" s="170">
        <v>0</v>
      </c>
      <c r="E52" s="168"/>
      <c r="F52" s="170">
        <v>0</v>
      </c>
      <c r="G52" s="167"/>
      <c r="H52" s="79">
        <v>0</v>
      </c>
      <c r="I52" s="167"/>
      <c r="J52" s="79">
        <v>0</v>
      </c>
      <c r="L52" s="79">
        <v>0</v>
      </c>
      <c r="N52" s="79">
        <v>0</v>
      </c>
      <c r="O52" s="167"/>
      <c r="P52" s="79">
        <v>0</v>
      </c>
      <c r="R52" s="79">
        <v>0</v>
      </c>
    </row>
    <row r="53" spans="1:18" x14ac:dyDescent="0.25">
      <c r="A53" s="169" t="str">
        <f>'PLAN COMPTABLE'!C34</f>
        <v>4520 - Pensées Canadiennes</v>
      </c>
      <c r="B53" s="170">
        <v>0</v>
      </c>
      <c r="C53" s="168"/>
      <c r="D53" s="170">
        <v>0</v>
      </c>
      <c r="E53" s="168"/>
      <c r="F53" s="170">
        <v>0</v>
      </c>
      <c r="G53" s="167"/>
      <c r="H53" s="79">
        <v>0</v>
      </c>
      <c r="I53" s="167"/>
      <c r="J53" s="79">
        <v>0</v>
      </c>
      <c r="L53" s="79">
        <v>0</v>
      </c>
      <c r="N53" s="79">
        <v>0</v>
      </c>
      <c r="O53" s="167"/>
      <c r="P53" s="79">
        <v>0</v>
      </c>
      <c r="R53" s="79">
        <v>0</v>
      </c>
    </row>
    <row r="54" spans="1:18" x14ac:dyDescent="0.25">
      <c r="A54" s="169" t="str">
        <f>'PLAN COMPTABLE'!C35</f>
        <v>4530 - Comité femmes de l'ADÉPUM</v>
      </c>
      <c r="B54" s="170">
        <v>0</v>
      </c>
      <c r="C54" s="168"/>
      <c r="D54" s="170">
        <v>0</v>
      </c>
      <c r="E54" s="168"/>
      <c r="F54" s="170">
        <v>1000</v>
      </c>
      <c r="G54" s="167"/>
      <c r="H54" s="79">
        <v>0</v>
      </c>
      <c r="I54" s="167"/>
      <c r="J54" s="79">
        <v>0</v>
      </c>
      <c r="L54" s="79">
        <v>0</v>
      </c>
      <c r="N54" s="79">
        <v>0</v>
      </c>
      <c r="O54" s="167"/>
      <c r="P54" s="79">
        <v>0</v>
      </c>
      <c r="R54" s="79">
        <v>0</v>
      </c>
    </row>
    <row r="55" spans="1:18" x14ac:dyDescent="0.25">
      <c r="A55" s="169" t="str">
        <f>'PLAN COMPTABLE'!C36</f>
        <v>4540 - Assemblées générales</v>
      </c>
      <c r="B55" s="170">
        <v>0</v>
      </c>
      <c r="C55" s="168"/>
      <c r="D55" s="170">
        <v>0</v>
      </c>
      <c r="E55" s="168"/>
      <c r="F55" s="170">
        <v>0</v>
      </c>
      <c r="G55" s="167"/>
      <c r="H55" s="79">
        <v>0</v>
      </c>
      <c r="I55" s="167"/>
      <c r="J55" s="79">
        <v>0</v>
      </c>
      <c r="L55" s="79">
        <v>0</v>
      </c>
      <c r="N55" s="79">
        <v>0</v>
      </c>
      <c r="O55" s="167"/>
      <c r="P55" s="79">
        <v>0</v>
      </c>
      <c r="R55" s="79">
        <v>0</v>
      </c>
    </row>
    <row r="56" spans="1:18" x14ac:dyDescent="0.25">
      <c r="A56" s="169" t="str">
        <f>'PLAN COMPTABLE'!C37</f>
        <v>4550 - Café et thé</v>
      </c>
      <c r="B56" s="170">
        <v>0</v>
      </c>
      <c r="C56" s="168"/>
      <c r="D56" s="170">
        <v>0</v>
      </c>
      <c r="E56" s="168"/>
      <c r="F56" s="170">
        <v>0</v>
      </c>
      <c r="G56" s="167"/>
      <c r="H56" s="79">
        <v>0</v>
      </c>
      <c r="I56" s="167"/>
      <c r="J56" s="79">
        <v>0</v>
      </c>
      <c r="L56" s="79">
        <v>0</v>
      </c>
      <c r="N56" s="79">
        <v>0</v>
      </c>
      <c r="O56" s="167"/>
      <c r="P56" s="79">
        <v>0</v>
      </c>
      <c r="R56" s="79">
        <v>0</v>
      </c>
    </row>
    <row r="57" spans="1:18" x14ac:dyDescent="0.25">
      <c r="A57" s="169" t="str">
        <f>'PLAN COMPTABLE'!C38</f>
        <v>4560 - Cadeaux aux secrétaires du Département de philosophie</v>
      </c>
      <c r="B57" s="170">
        <v>0</v>
      </c>
      <c r="C57" s="168"/>
      <c r="D57" s="170">
        <v>0</v>
      </c>
      <c r="E57" s="168"/>
      <c r="F57" s="170">
        <v>0</v>
      </c>
      <c r="G57" s="167"/>
      <c r="H57" s="79">
        <v>0</v>
      </c>
      <c r="I57" s="167"/>
      <c r="J57" s="79">
        <v>0</v>
      </c>
      <c r="L57" s="79">
        <v>0</v>
      </c>
      <c r="N57" s="79">
        <v>0</v>
      </c>
      <c r="O57" s="167"/>
      <c r="P57" s="79">
        <v>0</v>
      </c>
      <c r="R57" s="79">
        <v>0</v>
      </c>
    </row>
    <row r="58" spans="1:18" ht="13" x14ac:dyDescent="0.3">
      <c r="A58" s="109" t="s">
        <v>116</v>
      </c>
      <c r="B58" s="111">
        <v>0</v>
      </c>
      <c r="C58" s="168"/>
      <c r="D58" s="111">
        <v>0</v>
      </c>
      <c r="E58" s="168"/>
      <c r="F58" s="111">
        <f>SUM(F51:F57)</f>
        <v>1000</v>
      </c>
      <c r="G58" s="167"/>
      <c r="H58" s="192">
        <f>SUM(H51:H57)</f>
        <v>0</v>
      </c>
      <c r="I58" s="167"/>
      <c r="J58" s="192">
        <f>SUM(J51:J57)</f>
        <v>0</v>
      </c>
      <c r="L58" s="192">
        <f>SUM(L51:L57)</f>
        <v>0</v>
      </c>
      <c r="N58" s="192">
        <f>SUM(N51:N57)</f>
        <v>0</v>
      </c>
      <c r="O58" s="167"/>
      <c r="P58" s="192">
        <f>SUM(P51:P57)</f>
        <v>0</v>
      </c>
      <c r="R58" s="192">
        <f>SUM(R51:R57)</f>
        <v>0</v>
      </c>
    </row>
    <row r="59" spans="1:18" ht="13" x14ac:dyDescent="0.25">
      <c r="A59" s="30"/>
      <c r="B59" s="108"/>
      <c r="C59" s="167"/>
      <c r="D59" s="108"/>
      <c r="E59" s="167"/>
      <c r="F59" s="108"/>
      <c r="G59" s="167"/>
      <c r="H59" s="167"/>
      <c r="I59" s="167"/>
      <c r="J59" s="167"/>
      <c r="L59" s="167"/>
      <c r="O59" s="167"/>
    </row>
    <row r="60" spans="1:18" x14ac:dyDescent="0.25">
      <c r="B60" s="35"/>
      <c r="C60" s="167"/>
      <c r="D60" s="35"/>
      <c r="E60" s="167"/>
      <c r="F60" s="35"/>
      <c r="G60" s="167"/>
      <c r="H60" s="167"/>
      <c r="I60" s="167"/>
      <c r="J60" s="167"/>
      <c r="L60" s="167"/>
      <c r="O60" s="167"/>
    </row>
    <row r="61" spans="1:18" ht="16" thickBot="1" x14ac:dyDescent="0.4">
      <c r="A61" s="9" t="s">
        <v>117</v>
      </c>
      <c r="B61" s="38">
        <f>B20+B35+B41</f>
        <v>16886.73</v>
      </c>
      <c r="C61" s="8"/>
      <c r="D61" s="38">
        <f>D20+D35+D41</f>
        <v>15581.55</v>
      </c>
      <c r="E61" s="8"/>
      <c r="F61" s="38">
        <f>F20+F35+F41</f>
        <v>9720.5</v>
      </c>
      <c r="G61" s="167"/>
      <c r="H61" s="195">
        <f>SUM(H20+H35+H41+H48+H58)</f>
        <v>14039.3</v>
      </c>
      <c r="I61" s="167"/>
      <c r="J61" s="195">
        <f>SUM(J20+J35+J41+J48+J58)</f>
        <v>19699.419999999998</v>
      </c>
      <c r="L61" s="195">
        <f>SUM(L20+L35+L41+L48+L58)</f>
        <v>22662.58</v>
      </c>
      <c r="N61" s="195">
        <f>SUM(N20+N35+N41+N48+N58)</f>
        <v>23540.68</v>
      </c>
      <c r="O61" s="167"/>
      <c r="P61" s="195">
        <f>SUM(P20+P35+P41+P48+P58)</f>
        <v>24410</v>
      </c>
      <c r="R61" s="195">
        <f>SUM(R20+R35+R41+R48+R58)</f>
        <v>24337</v>
      </c>
    </row>
    <row r="62" spans="1:18" x14ac:dyDescent="0.25">
      <c r="B62" s="35"/>
      <c r="C62" s="167"/>
      <c r="D62" s="35"/>
      <c r="E62" s="167"/>
      <c r="F62" s="35"/>
      <c r="G62" s="167"/>
      <c r="H62" s="167"/>
      <c r="I62" s="167"/>
      <c r="J62" s="167"/>
      <c r="L62" s="167"/>
      <c r="O62" s="167"/>
    </row>
    <row r="63" spans="1:18" x14ac:dyDescent="0.25">
      <c r="B63" s="35"/>
      <c r="C63" s="167"/>
      <c r="D63" s="35"/>
      <c r="E63" s="167"/>
      <c r="F63" s="35"/>
      <c r="G63" s="167"/>
      <c r="H63" s="167"/>
      <c r="I63" s="167"/>
      <c r="J63" s="167"/>
      <c r="L63" s="167"/>
      <c r="O63" s="167"/>
    </row>
    <row r="64" spans="1:18" ht="15.5" x14ac:dyDescent="0.35">
      <c r="A64" s="113" t="s">
        <v>118</v>
      </c>
      <c r="B64" s="114"/>
      <c r="C64" s="115"/>
      <c r="D64" s="114"/>
      <c r="E64" s="115"/>
      <c r="F64" s="114"/>
      <c r="G64" s="196"/>
      <c r="H64" s="196"/>
      <c r="I64" s="196"/>
      <c r="J64" s="196"/>
      <c r="K64" s="196"/>
      <c r="L64" s="196"/>
      <c r="M64" s="196"/>
      <c r="N64" s="196"/>
      <c r="O64" s="167"/>
      <c r="P64" s="196"/>
      <c r="R64" s="196"/>
    </row>
    <row r="65" spans="1:18" x14ac:dyDescent="0.25">
      <c r="B65" s="35"/>
      <c r="C65" s="167"/>
      <c r="D65" s="35"/>
      <c r="E65" s="167"/>
      <c r="F65" s="35"/>
      <c r="G65" s="167"/>
      <c r="H65" s="167"/>
      <c r="I65" s="167"/>
      <c r="J65" s="167"/>
      <c r="L65" s="167"/>
      <c r="O65" s="167"/>
    </row>
    <row r="66" spans="1:18" ht="13" x14ac:dyDescent="0.25">
      <c r="A66" s="30" t="s">
        <v>119</v>
      </c>
      <c r="B66" s="36"/>
      <c r="C66" s="167"/>
      <c r="D66" s="36"/>
      <c r="E66" s="167"/>
      <c r="F66" s="36"/>
      <c r="G66" s="167"/>
      <c r="H66" s="167"/>
      <c r="I66" s="167"/>
      <c r="J66" s="167"/>
      <c r="L66" s="167"/>
      <c r="O66" s="167"/>
    </row>
    <row r="67" spans="1:18" x14ac:dyDescent="0.25">
      <c r="A67" s="37" t="str">
        <f>'PLAN COMPTABLE'!C39</f>
        <v>5100 - Matériel et fournitures</v>
      </c>
      <c r="B67" s="116">
        <v>200</v>
      </c>
      <c r="C67" s="167"/>
      <c r="D67" s="32">
        <v>150</v>
      </c>
      <c r="E67" s="167"/>
      <c r="F67" s="32">
        <v>150</v>
      </c>
      <c r="G67" s="167"/>
      <c r="H67" s="79">
        <v>150</v>
      </c>
      <c r="I67" s="167"/>
      <c r="J67" s="79">
        <v>300</v>
      </c>
      <c r="L67" s="79">
        <v>300</v>
      </c>
      <c r="N67" s="79">
        <v>300</v>
      </c>
      <c r="O67" s="167"/>
      <c r="P67" s="79">
        <v>400</v>
      </c>
      <c r="R67" s="79">
        <v>400</v>
      </c>
    </row>
    <row r="68" spans="1:18" x14ac:dyDescent="0.25">
      <c r="A68" s="37" t="str">
        <f>'PLAN COMPTABLE'!C40</f>
        <v>5110 - Imprimante</v>
      </c>
      <c r="B68" s="116">
        <v>200</v>
      </c>
      <c r="C68" s="167"/>
      <c r="D68" s="32">
        <v>150</v>
      </c>
      <c r="E68" s="167"/>
      <c r="F68" s="32">
        <v>150</v>
      </c>
      <c r="G68" s="167"/>
      <c r="H68" s="79">
        <v>100</v>
      </c>
      <c r="I68" s="167"/>
      <c r="J68" s="79">
        <v>150</v>
      </c>
      <c r="L68" s="79">
        <v>150</v>
      </c>
      <c r="N68" s="79">
        <v>150</v>
      </c>
      <c r="O68" s="167"/>
      <c r="P68" s="79">
        <v>150</v>
      </c>
      <c r="R68" s="79">
        <v>150</v>
      </c>
    </row>
    <row r="69" spans="1:18" s="167" customFormat="1" x14ac:dyDescent="0.25">
      <c r="A69" s="37" t="str">
        <f>'PLAN COMPTABLE'!C41</f>
        <v>5115 - Site Internet de l'ADEPUM</v>
      </c>
      <c r="B69" s="116">
        <v>0</v>
      </c>
      <c r="D69" s="32">
        <v>0</v>
      </c>
      <c r="F69" s="32">
        <v>0</v>
      </c>
      <c r="H69" s="79">
        <v>0</v>
      </c>
      <c r="J69" s="79">
        <v>150</v>
      </c>
      <c r="L69" s="79">
        <v>300</v>
      </c>
      <c r="N69" s="79">
        <v>300</v>
      </c>
      <c r="P69" s="79">
        <v>400</v>
      </c>
      <c r="R69" s="79">
        <v>100</v>
      </c>
    </row>
    <row r="70" spans="1:18" x14ac:dyDescent="0.25">
      <c r="A70" s="37" t="str">
        <f>'PLAN COMPTABLE'!C42</f>
        <v>5120 - Registraire des entreprises du Québec</v>
      </c>
      <c r="B70" s="116">
        <v>40</v>
      </c>
      <c r="C70" s="167"/>
      <c r="D70" s="32">
        <v>40</v>
      </c>
      <c r="E70" s="167"/>
      <c r="F70" s="32">
        <v>40</v>
      </c>
      <c r="G70" s="167"/>
      <c r="H70" s="79">
        <v>40</v>
      </c>
      <c r="I70" s="167"/>
      <c r="J70" s="79">
        <v>40</v>
      </c>
      <c r="L70" s="79">
        <v>40</v>
      </c>
      <c r="N70" s="79">
        <v>40</v>
      </c>
      <c r="O70" s="167"/>
      <c r="P70" s="79">
        <v>40</v>
      </c>
      <c r="R70" s="79">
        <v>40</v>
      </c>
    </row>
    <row r="71" spans="1:18" x14ac:dyDescent="0.25">
      <c r="A71" s="37" t="str">
        <f>'PLAN COMPTABLE'!C43</f>
        <v>5130 - Déclarations d'impôts</v>
      </c>
      <c r="B71" s="116">
        <v>100</v>
      </c>
      <c r="C71" s="167"/>
      <c r="D71" s="32">
        <v>100</v>
      </c>
      <c r="E71" s="167"/>
      <c r="F71" s="32">
        <v>100</v>
      </c>
      <c r="G71" s="167"/>
      <c r="H71" s="79">
        <v>100</v>
      </c>
      <c r="I71" s="167"/>
      <c r="J71" s="79">
        <v>100</v>
      </c>
      <c r="L71" s="79">
        <v>100</v>
      </c>
      <c r="N71" s="79">
        <v>100</v>
      </c>
      <c r="O71" s="167"/>
      <c r="P71" s="79">
        <v>100</v>
      </c>
      <c r="R71" s="79">
        <v>100</v>
      </c>
    </row>
    <row r="72" spans="1:18" x14ac:dyDescent="0.25">
      <c r="A72" s="37" t="str">
        <f>'PLAN COMPTABLE'!C44</f>
        <v>5140 - Frais bancaires</v>
      </c>
      <c r="B72" s="116">
        <v>100</v>
      </c>
      <c r="C72" s="167"/>
      <c r="D72" s="32">
        <v>100</v>
      </c>
      <c r="E72" s="167"/>
      <c r="F72" s="32">
        <v>100</v>
      </c>
      <c r="G72" s="167"/>
      <c r="H72" s="79">
        <v>100</v>
      </c>
      <c r="I72" s="167"/>
      <c r="J72" s="79">
        <v>100</v>
      </c>
      <c r="L72" s="79">
        <v>100</v>
      </c>
      <c r="N72" s="79">
        <v>100</v>
      </c>
      <c r="O72" s="167"/>
      <c r="P72" s="79">
        <v>100</v>
      </c>
      <c r="R72" s="79">
        <v>100</v>
      </c>
    </row>
    <row r="73" spans="1:18" ht="13" x14ac:dyDescent="0.3">
      <c r="A73" s="30" t="s">
        <v>120</v>
      </c>
      <c r="B73" s="142">
        <f>SUM(B67:B72)</f>
        <v>640</v>
      </c>
      <c r="C73" s="167"/>
      <c r="D73" s="33">
        <f>SUM(D67:D72)</f>
        <v>540</v>
      </c>
      <c r="E73" s="167"/>
      <c r="F73" s="33">
        <f>SUM(F67:F72)</f>
        <v>540</v>
      </c>
      <c r="G73" s="167"/>
      <c r="H73" s="192">
        <f>SUM(H67:H72)</f>
        <v>490</v>
      </c>
      <c r="I73" s="167"/>
      <c r="J73" s="192">
        <f>SUM(J67:J72)</f>
        <v>840</v>
      </c>
      <c r="L73" s="192">
        <f>SUM(L67:L72)</f>
        <v>990</v>
      </c>
      <c r="N73" s="192">
        <f>SUM(N67:N72)</f>
        <v>990</v>
      </c>
      <c r="O73" s="167"/>
      <c r="P73" s="192">
        <f>SUM(P67:P72)</f>
        <v>1190</v>
      </c>
      <c r="R73" s="192">
        <f>SUM(R67:R72)</f>
        <v>890</v>
      </c>
    </row>
    <row r="74" spans="1:18" x14ac:dyDescent="0.25">
      <c r="B74" s="35"/>
      <c r="C74" s="167"/>
      <c r="D74" s="35"/>
      <c r="E74" s="167"/>
      <c r="F74" s="35"/>
      <c r="G74" s="167"/>
      <c r="H74" s="167"/>
      <c r="I74" s="167"/>
      <c r="J74" s="167"/>
      <c r="L74" s="167"/>
      <c r="O74" s="167"/>
    </row>
    <row r="75" spans="1:18" ht="13" x14ac:dyDescent="0.25">
      <c r="A75" s="30" t="s">
        <v>109</v>
      </c>
      <c r="B75" s="36"/>
      <c r="C75" s="167"/>
      <c r="D75" s="36"/>
      <c r="E75" s="167"/>
      <c r="F75" s="36"/>
      <c r="G75" s="167"/>
      <c r="H75" s="167"/>
      <c r="I75" s="167"/>
      <c r="J75" s="167"/>
      <c r="L75" s="167"/>
      <c r="O75" s="167"/>
    </row>
    <row r="76" spans="1:18" x14ac:dyDescent="0.25">
      <c r="A76" s="37" t="s">
        <v>85</v>
      </c>
      <c r="B76" s="116">
        <v>2000</v>
      </c>
      <c r="C76" s="167"/>
      <c r="D76" s="32">
        <v>1700</v>
      </c>
      <c r="E76" s="167"/>
      <c r="F76" s="32">
        <v>1700</v>
      </c>
      <c r="G76" s="167"/>
      <c r="H76" s="79">
        <v>400</v>
      </c>
      <c r="I76" s="167"/>
      <c r="J76" s="79">
        <v>500</v>
      </c>
      <c r="L76" s="79">
        <v>1500</v>
      </c>
      <c r="N76" s="79">
        <v>1000</v>
      </c>
      <c r="O76" s="167"/>
      <c r="P76" s="79">
        <v>1000</v>
      </c>
      <c r="R76" s="79">
        <v>1000</v>
      </c>
    </row>
    <row r="77" spans="1:18" x14ac:dyDescent="0.25">
      <c r="A77" s="37" t="str">
        <f>'PLAN COMPTABLE'!C46</f>
        <v>5210 - Matériel promotionnel</v>
      </c>
      <c r="B77" s="116">
        <v>500</v>
      </c>
      <c r="C77" s="167"/>
      <c r="D77" s="32">
        <v>300</v>
      </c>
      <c r="E77" s="167"/>
      <c r="F77" s="32">
        <v>200</v>
      </c>
      <c r="G77" s="167"/>
      <c r="H77" s="79">
        <v>200</v>
      </c>
      <c r="I77" s="167"/>
      <c r="J77" s="79">
        <v>150</v>
      </c>
      <c r="L77" s="79">
        <v>300</v>
      </c>
      <c r="N77" s="79">
        <v>300</v>
      </c>
      <c r="O77" s="167"/>
      <c r="P77" s="79">
        <v>200</v>
      </c>
      <c r="R77" s="79">
        <v>200</v>
      </c>
    </row>
    <row r="78" spans="1:18" s="167" customFormat="1" x14ac:dyDescent="0.25">
      <c r="A78" s="37" t="str">
        <f>'PLAN COMPTABLE'!C47</f>
        <v>5215 - Colloque 1er Cycle</v>
      </c>
      <c r="B78" s="116"/>
      <c r="D78" s="32"/>
      <c r="F78" s="32">
        <v>350</v>
      </c>
      <c r="H78" s="79">
        <v>350</v>
      </c>
      <c r="J78" s="79">
        <v>350</v>
      </c>
      <c r="L78" s="79">
        <v>350</v>
      </c>
      <c r="N78" s="79">
        <v>350</v>
      </c>
      <c r="P78" s="79">
        <v>350</v>
      </c>
      <c r="R78" s="79">
        <v>350</v>
      </c>
    </row>
    <row r="79" spans="1:18" x14ac:dyDescent="0.25">
      <c r="A79" s="37" t="str">
        <f>'PLAN COMPTABLE'!C48</f>
        <v>5220 - Bourses - Colloque 1er Cycle</v>
      </c>
      <c r="B79" s="116">
        <v>500</v>
      </c>
      <c r="C79" s="167"/>
      <c r="D79" s="32">
        <v>300</v>
      </c>
      <c r="E79" s="167"/>
      <c r="F79" s="32">
        <v>300</v>
      </c>
      <c r="G79" s="167"/>
      <c r="H79" s="79">
        <v>300</v>
      </c>
      <c r="I79" s="167"/>
      <c r="J79" s="79">
        <v>550</v>
      </c>
      <c r="L79" s="79">
        <v>550</v>
      </c>
      <c r="N79" s="79">
        <v>550</v>
      </c>
      <c r="O79" s="167"/>
      <c r="P79" s="79">
        <v>550</v>
      </c>
      <c r="R79" s="79">
        <v>550</v>
      </c>
    </row>
    <row r="80" spans="1:18" x14ac:dyDescent="0.25">
      <c r="A80" s="37" t="str">
        <f>'PLAN COMPTABLE'!C49</f>
        <v>5230 - Projets étudiants</v>
      </c>
      <c r="B80" s="116">
        <v>500</v>
      </c>
      <c r="C80" s="167"/>
      <c r="D80" s="32">
        <v>500</v>
      </c>
      <c r="E80" s="167"/>
      <c r="F80" s="32">
        <v>500</v>
      </c>
      <c r="G80" s="167"/>
      <c r="H80" s="79">
        <v>500</v>
      </c>
      <c r="I80" s="167"/>
      <c r="J80" s="79">
        <v>1000</v>
      </c>
      <c r="L80" s="79">
        <v>1000</v>
      </c>
      <c r="N80" s="79">
        <v>1000</v>
      </c>
      <c r="O80" s="167"/>
      <c r="P80" s="79">
        <v>500</v>
      </c>
      <c r="R80" s="79">
        <v>500</v>
      </c>
    </row>
    <row r="81" spans="1:18" s="8" customFormat="1" ht="15.5" x14ac:dyDescent="0.35">
      <c r="A81" s="37" t="str">
        <f>'PLAN COMPTABLE'!C50</f>
        <v>5240 - Sports</v>
      </c>
      <c r="B81" s="116">
        <v>500</v>
      </c>
      <c r="C81" s="167"/>
      <c r="D81" s="32">
        <v>300</v>
      </c>
      <c r="E81" s="167"/>
      <c r="F81" s="32">
        <v>300</v>
      </c>
      <c r="H81" s="79">
        <v>100</v>
      </c>
      <c r="J81" s="79">
        <v>250</v>
      </c>
      <c r="L81" s="79">
        <v>840</v>
      </c>
      <c r="N81" s="79">
        <v>840</v>
      </c>
      <c r="P81" s="79">
        <v>500</v>
      </c>
      <c r="R81" s="79">
        <v>400</v>
      </c>
    </row>
    <row r="82" spans="1:18" x14ac:dyDescent="0.25">
      <c r="A82" s="37" t="str">
        <f>'PLAN COMPTABLE'!C51</f>
        <v>5250 - Autres activités socio-culturelles</v>
      </c>
      <c r="B82" s="116">
        <v>500</v>
      </c>
      <c r="C82" s="167"/>
      <c r="D82" s="32">
        <v>300</v>
      </c>
      <c r="E82" s="167"/>
      <c r="F82" s="32">
        <v>300</v>
      </c>
      <c r="G82" s="167"/>
      <c r="H82" s="79">
        <v>400</v>
      </c>
      <c r="I82" s="167"/>
      <c r="J82" s="79">
        <v>500</v>
      </c>
      <c r="L82" s="79">
        <v>500</v>
      </c>
      <c r="N82" s="79">
        <v>500</v>
      </c>
      <c r="O82" s="167"/>
      <c r="P82" s="79">
        <v>500</v>
      </c>
      <c r="R82" s="79">
        <v>600</v>
      </c>
    </row>
    <row r="83" spans="1:18" x14ac:dyDescent="0.25">
      <c r="A83" s="37" t="str">
        <f>'PLAN COMPTABLE'!C52</f>
        <v>5260 - Activités d'accueil</v>
      </c>
      <c r="B83" s="116">
        <v>1000</v>
      </c>
      <c r="C83" s="167"/>
      <c r="D83" s="32">
        <v>800</v>
      </c>
      <c r="E83" s="167"/>
      <c r="F83" s="32">
        <v>500</v>
      </c>
      <c r="G83" s="167"/>
      <c r="H83" s="79">
        <v>400</v>
      </c>
      <c r="I83" s="167"/>
      <c r="J83" s="79">
        <v>400</v>
      </c>
      <c r="L83" s="79">
        <v>400</v>
      </c>
      <c r="N83" s="79">
        <v>400</v>
      </c>
      <c r="O83" s="167"/>
      <c r="P83" s="79">
        <v>400</v>
      </c>
      <c r="R83" s="79">
        <v>400</v>
      </c>
    </row>
    <row r="84" spans="1:18" s="167" customFormat="1" x14ac:dyDescent="0.25">
      <c r="A84" s="37" t="str">
        <f>'PLAN COMPTABLE'!C53</f>
        <v>5265 - Party de la rentrée (automne)</v>
      </c>
      <c r="B84" s="116"/>
      <c r="D84" s="32"/>
      <c r="F84" s="32">
        <v>300</v>
      </c>
      <c r="H84" s="79">
        <v>0</v>
      </c>
      <c r="J84" s="79">
        <v>0</v>
      </c>
      <c r="L84" s="79">
        <v>300</v>
      </c>
      <c r="N84" s="79">
        <v>300</v>
      </c>
      <c r="P84" s="79">
        <v>300</v>
      </c>
      <c r="R84" s="79">
        <v>400</v>
      </c>
    </row>
    <row r="85" spans="1:18" s="8" customFormat="1" ht="15.5" x14ac:dyDescent="0.35">
      <c r="A85" s="37" t="str">
        <f>'PLAN COMPTABLE'!C54</f>
        <v>5270 - Party de mi-session (automne)</v>
      </c>
      <c r="B85" s="116">
        <v>150</v>
      </c>
      <c r="C85" s="167"/>
      <c r="D85" s="32">
        <v>300</v>
      </c>
      <c r="E85" s="167"/>
      <c r="F85" s="32">
        <v>300</v>
      </c>
      <c r="H85" s="79">
        <v>0</v>
      </c>
      <c r="J85" s="79">
        <v>500</v>
      </c>
      <c r="L85" s="79">
        <v>160</v>
      </c>
      <c r="N85" s="79">
        <v>400</v>
      </c>
      <c r="P85" s="79">
        <v>400</v>
      </c>
      <c r="R85" s="79">
        <v>400</v>
      </c>
    </row>
    <row r="86" spans="1:18" x14ac:dyDescent="0.25">
      <c r="A86" s="37" t="str">
        <f>'PLAN COMPTABLE'!C55</f>
        <v>5271 - Party de fin de session (automne)</v>
      </c>
      <c r="B86" s="116">
        <v>350</v>
      </c>
      <c r="C86" s="167"/>
      <c r="D86" s="32">
        <v>300</v>
      </c>
      <c r="E86" s="167"/>
      <c r="F86" s="32">
        <v>300</v>
      </c>
      <c r="G86" s="167"/>
      <c r="H86" s="79">
        <v>0</v>
      </c>
      <c r="I86" s="167"/>
      <c r="J86" s="79">
        <v>0</v>
      </c>
      <c r="L86" s="79">
        <v>500</v>
      </c>
      <c r="N86" s="79">
        <v>500</v>
      </c>
      <c r="O86" s="167"/>
      <c r="P86" s="79">
        <v>500</v>
      </c>
      <c r="R86" s="79">
        <v>500</v>
      </c>
    </row>
    <row r="87" spans="1:18" x14ac:dyDescent="0.25">
      <c r="A87" s="37" t="str">
        <f>'PLAN COMPTABLE'!C56</f>
        <v>5272 - Party de début de session (hiver)</v>
      </c>
      <c r="B87" s="116">
        <v>350</v>
      </c>
      <c r="C87" s="167"/>
      <c r="D87" s="32" t="s">
        <v>121</v>
      </c>
      <c r="E87" s="167"/>
      <c r="F87" s="32">
        <v>100</v>
      </c>
      <c r="G87" s="167"/>
      <c r="H87" s="79">
        <v>0</v>
      </c>
      <c r="I87" s="167"/>
      <c r="J87" s="79">
        <v>500</v>
      </c>
      <c r="L87" s="79">
        <v>500</v>
      </c>
      <c r="N87" s="79">
        <v>500</v>
      </c>
      <c r="O87" s="167"/>
      <c r="P87" s="79">
        <v>500</v>
      </c>
      <c r="R87" s="79">
        <v>500</v>
      </c>
    </row>
    <row r="88" spans="1:18" x14ac:dyDescent="0.25">
      <c r="A88" s="37" t="str">
        <f>'PLAN COMPTABLE'!C57</f>
        <v>5273 - Party de mi-session (hiver)</v>
      </c>
      <c r="B88" s="116">
        <v>350</v>
      </c>
      <c r="C88" s="167"/>
      <c r="D88" s="32">
        <v>300</v>
      </c>
      <c r="E88" s="167"/>
      <c r="F88" s="32">
        <v>300</v>
      </c>
      <c r="G88" s="167"/>
      <c r="H88" s="79">
        <v>100</v>
      </c>
      <c r="I88" s="167"/>
      <c r="J88" s="79">
        <v>500</v>
      </c>
      <c r="L88" s="79">
        <v>500</v>
      </c>
      <c r="N88" s="79">
        <v>500</v>
      </c>
      <c r="O88" s="167"/>
      <c r="P88" s="79">
        <v>500</v>
      </c>
      <c r="R88" s="79">
        <v>500</v>
      </c>
    </row>
    <row r="89" spans="1:18" x14ac:dyDescent="0.25">
      <c r="A89" s="37" t="str">
        <f>'PLAN COMPTABLE'!C58</f>
        <v>5274 - Party de fin de session (hiver)</v>
      </c>
      <c r="B89" s="116">
        <v>350</v>
      </c>
      <c r="C89" s="167"/>
      <c r="D89" s="32">
        <v>300</v>
      </c>
      <c r="E89" s="167"/>
      <c r="F89" s="32">
        <v>400</v>
      </c>
      <c r="G89" s="167"/>
      <c r="H89" s="79">
        <v>100</v>
      </c>
      <c r="I89" s="167"/>
      <c r="J89" s="79">
        <v>500</v>
      </c>
      <c r="L89" s="79">
        <v>500</v>
      </c>
      <c r="N89" s="79">
        <v>500</v>
      </c>
      <c r="O89" s="167"/>
      <c r="P89" s="79">
        <v>500</v>
      </c>
      <c r="R89" s="79">
        <v>500</v>
      </c>
    </row>
    <row r="90" spans="1:18" ht="13" x14ac:dyDescent="0.3">
      <c r="A90" s="30" t="s">
        <v>110</v>
      </c>
      <c r="B90" s="142">
        <f>SUM(B76:B89)</f>
        <v>7050</v>
      </c>
      <c r="C90" s="167"/>
      <c r="D90" s="33">
        <f>SUM(D76:D89)</f>
        <v>5400</v>
      </c>
      <c r="E90" s="167"/>
      <c r="F90" s="33">
        <f>SUM(F76:F89)</f>
        <v>5850</v>
      </c>
      <c r="G90" s="167"/>
      <c r="H90" s="192">
        <f>SUM(H76:H89)</f>
        <v>2850</v>
      </c>
      <c r="I90" s="167"/>
      <c r="J90" s="192">
        <f>SUM(J76:J89)</f>
        <v>5700</v>
      </c>
      <c r="L90" s="192">
        <f>SUM(L76:L89)</f>
        <v>7900</v>
      </c>
      <c r="N90" s="192">
        <f>SUM(N76:N89)</f>
        <v>7640</v>
      </c>
      <c r="O90" s="167"/>
      <c r="P90" s="192">
        <f>SUM(P76:P89)</f>
        <v>6700</v>
      </c>
      <c r="R90" s="192">
        <f>SUM(R76:R89)</f>
        <v>6800</v>
      </c>
    </row>
    <row r="91" spans="1:18" x14ac:dyDescent="0.25">
      <c r="B91" s="35"/>
      <c r="C91" s="167"/>
      <c r="D91" s="35"/>
      <c r="E91" s="167"/>
      <c r="F91" s="35"/>
      <c r="G91" s="167"/>
      <c r="H91" s="167"/>
      <c r="I91" s="167"/>
      <c r="J91" s="167"/>
      <c r="L91" s="167"/>
      <c r="O91" s="167"/>
    </row>
    <row r="92" spans="1:18" ht="13" x14ac:dyDescent="0.25">
      <c r="A92" s="30" t="s">
        <v>111</v>
      </c>
      <c r="B92" s="36"/>
      <c r="C92" s="167"/>
      <c r="D92" s="36"/>
      <c r="E92" s="167"/>
      <c r="F92" s="36"/>
      <c r="G92" s="167"/>
      <c r="H92" s="167"/>
      <c r="I92" s="167"/>
      <c r="J92" s="167"/>
      <c r="L92" s="167"/>
      <c r="O92" s="167"/>
    </row>
    <row r="93" spans="1:18" x14ac:dyDescent="0.25">
      <c r="A93" s="31" t="str">
        <f>'PLAN COMPTABLE'!C59</f>
        <v>5300 - Colloque des Cycles supérieurs</v>
      </c>
      <c r="B93" s="116">
        <v>1000</v>
      </c>
      <c r="C93" s="167"/>
      <c r="D93" s="32">
        <v>1000</v>
      </c>
      <c r="E93" s="167"/>
      <c r="F93" s="32">
        <v>850</v>
      </c>
      <c r="G93" s="167"/>
      <c r="H93" s="79">
        <v>450</v>
      </c>
      <c r="I93" s="167"/>
      <c r="J93" s="79">
        <v>500</v>
      </c>
      <c r="L93" s="79">
        <v>500</v>
      </c>
      <c r="N93" s="79">
        <v>1250</v>
      </c>
      <c r="O93" s="167"/>
      <c r="P93" s="79">
        <v>1250</v>
      </c>
      <c r="R93" s="79">
        <v>1250</v>
      </c>
    </row>
    <row r="94" spans="1:18" x14ac:dyDescent="0.25">
      <c r="A94" s="31" t="str">
        <f>'PLAN COMPTABLE'!C60</f>
        <v>5310 - Bourses - Colloque Cycles supérieurs</v>
      </c>
      <c r="B94" s="116">
        <v>500</v>
      </c>
      <c r="C94" s="167"/>
      <c r="D94" s="32">
        <v>500</v>
      </c>
      <c r="E94" s="167"/>
      <c r="F94" s="32">
        <v>500</v>
      </c>
      <c r="G94" s="167"/>
      <c r="H94" s="79">
        <v>1000</v>
      </c>
      <c r="I94" s="167"/>
      <c r="J94" s="79">
        <v>1250</v>
      </c>
      <c r="L94" s="79">
        <v>1000</v>
      </c>
      <c r="N94" s="79">
        <v>1000</v>
      </c>
      <c r="O94" s="167"/>
      <c r="P94" s="79">
        <v>1000</v>
      </c>
      <c r="R94" s="79">
        <v>1000</v>
      </c>
    </row>
    <row r="95" spans="1:18" x14ac:dyDescent="0.25">
      <c r="A95" s="31" t="str">
        <f>'PLAN COMPTABLE'!C61</f>
        <v>5320 - Séminaire étudiant</v>
      </c>
      <c r="B95" s="116">
        <v>1000</v>
      </c>
      <c r="C95" s="167"/>
      <c r="D95" s="32" t="s">
        <v>121</v>
      </c>
      <c r="E95" s="167"/>
      <c r="F95" s="32">
        <v>0</v>
      </c>
      <c r="G95" s="167"/>
      <c r="H95" s="79">
        <v>0</v>
      </c>
      <c r="I95" s="167"/>
      <c r="J95" s="79">
        <v>0</v>
      </c>
      <c r="L95" s="79">
        <v>0</v>
      </c>
      <c r="N95" s="79">
        <v>0</v>
      </c>
      <c r="O95" s="167"/>
      <c r="P95" s="79">
        <v>0</v>
      </c>
      <c r="R95" s="79">
        <v>0</v>
      </c>
    </row>
    <row r="96" spans="1:18" ht="13" x14ac:dyDescent="0.3">
      <c r="A96" s="30" t="s">
        <v>112</v>
      </c>
      <c r="B96" s="142">
        <f>SUM(B93:B95)</f>
        <v>2500</v>
      </c>
      <c r="C96" s="167"/>
      <c r="D96" s="33">
        <f>SUM(D93:D95)</f>
        <v>1500</v>
      </c>
      <c r="E96" s="167"/>
      <c r="F96" s="33">
        <f>SUM(F93:F95)</f>
        <v>1350</v>
      </c>
      <c r="G96" s="167"/>
      <c r="H96" s="192">
        <f>SUM(H93:H95)</f>
        <v>1450</v>
      </c>
      <c r="I96" s="167"/>
      <c r="J96" s="192">
        <f>SUM(J93:J95)</f>
        <v>1750</v>
      </c>
      <c r="L96" s="192">
        <f>SUM(L93:L95)</f>
        <v>1500</v>
      </c>
      <c r="N96" s="192">
        <f>SUM(N93:N95)</f>
        <v>2250</v>
      </c>
      <c r="O96" s="167"/>
      <c r="P96" s="192">
        <f>SUM(P93:P95)</f>
        <v>2250</v>
      </c>
      <c r="R96" s="192">
        <f>SUM(R93:R95)</f>
        <v>2250</v>
      </c>
    </row>
    <row r="97" spans="1:18" ht="13" x14ac:dyDescent="0.25">
      <c r="A97" s="30"/>
      <c r="B97" s="108"/>
      <c r="C97" s="167"/>
      <c r="D97" s="108"/>
      <c r="E97" s="167"/>
      <c r="F97" s="108"/>
      <c r="G97" s="167"/>
      <c r="H97" s="167"/>
      <c r="I97" s="167"/>
      <c r="J97" s="167"/>
      <c r="L97" s="167"/>
      <c r="O97" s="167"/>
    </row>
    <row r="98" spans="1:18" ht="13" x14ac:dyDescent="0.25">
      <c r="A98" s="109" t="s">
        <v>113</v>
      </c>
      <c r="B98" s="110"/>
      <c r="C98" s="168"/>
      <c r="D98" s="110"/>
      <c r="E98" s="168"/>
      <c r="F98" s="110"/>
      <c r="G98" s="167"/>
      <c r="H98" s="167"/>
      <c r="I98" s="167"/>
      <c r="J98" s="167"/>
      <c r="L98" s="167"/>
      <c r="O98" s="167"/>
    </row>
    <row r="99" spans="1:18" x14ac:dyDescent="0.25">
      <c r="A99" s="112" t="str">
        <f>'PLAN COMPTABLE'!C62</f>
        <v>5400 - Représentation externe</v>
      </c>
      <c r="B99" s="172">
        <v>100</v>
      </c>
      <c r="C99" s="168"/>
      <c r="D99" s="170">
        <v>100</v>
      </c>
      <c r="E99" s="168"/>
      <c r="F99" s="170">
        <v>50</v>
      </c>
      <c r="G99" s="167"/>
      <c r="H99" s="79">
        <v>50</v>
      </c>
      <c r="I99" s="167"/>
      <c r="J99" s="79">
        <v>200</v>
      </c>
      <c r="L99" s="79">
        <v>200</v>
      </c>
      <c r="N99" s="79">
        <v>200</v>
      </c>
      <c r="O99" s="167"/>
      <c r="P99" s="79">
        <v>200</v>
      </c>
      <c r="R99" s="79">
        <v>200</v>
      </c>
    </row>
    <row r="100" spans="1:18" x14ac:dyDescent="0.25">
      <c r="A100" s="112" t="str">
        <f>'PLAN COMPTABLE'!C63</f>
        <v>5410 - Cotisations ASSÉ</v>
      </c>
      <c r="B100" s="172">
        <v>900</v>
      </c>
      <c r="C100" s="168"/>
      <c r="D100" s="170">
        <v>900</v>
      </c>
      <c r="E100" s="168"/>
      <c r="F100" s="170">
        <v>0</v>
      </c>
      <c r="G100" s="167"/>
      <c r="H100" s="79">
        <v>0</v>
      </c>
      <c r="I100" s="167"/>
      <c r="J100" s="79">
        <v>0</v>
      </c>
      <c r="L100" s="79" t="s">
        <v>122</v>
      </c>
      <c r="N100" s="79" t="s">
        <v>122</v>
      </c>
      <c r="O100" s="167"/>
      <c r="P100" s="79" t="s">
        <v>122</v>
      </c>
      <c r="R100" s="79" t="s">
        <v>122</v>
      </c>
    </row>
    <row r="101" spans="1:18" x14ac:dyDescent="0.25">
      <c r="A101" s="112" t="str">
        <f>'PLAN COMPTABLE'!C65</f>
        <v>5420 - Comité légal de l'ASSÉ</v>
      </c>
      <c r="B101" s="172">
        <v>157.5</v>
      </c>
      <c r="C101" s="168"/>
      <c r="D101" s="170">
        <v>157.5</v>
      </c>
      <c r="E101" s="168"/>
      <c r="F101" s="170">
        <v>0</v>
      </c>
      <c r="G101" s="167"/>
      <c r="H101" s="79">
        <v>0</v>
      </c>
      <c r="I101" s="167"/>
      <c r="J101" s="79">
        <v>0</v>
      </c>
      <c r="L101" s="79" t="s">
        <v>121</v>
      </c>
      <c r="N101" s="79" t="s">
        <v>121</v>
      </c>
      <c r="O101" s="167"/>
      <c r="P101" s="79" t="s">
        <v>121</v>
      </c>
      <c r="R101" s="79" t="s">
        <v>121</v>
      </c>
    </row>
    <row r="102" spans="1:18" s="167" customFormat="1" x14ac:dyDescent="0.25">
      <c r="A102" s="112" t="s">
        <v>123</v>
      </c>
      <c r="B102" s="172"/>
      <c r="C102" s="168"/>
      <c r="D102" s="170"/>
      <c r="E102" s="168"/>
      <c r="F102" s="170"/>
      <c r="H102" s="79"/>
      <c r="J102" s="79"/>
      <c r="L102" s="79">
        <v>100</v>
      </c>
      <c r="N102" s="79">
        <v>0</v>
      </c>
      <c r="P102" s="79">
        <v>0</v>
      </c>
      <c r="R102" s="79">
        <v>0</v>
      </c>
    </row>
    <row r="103" spans="1:18" s="167" customFormat="1" x14ac:dyDescent="0.25">
      <c r="A103" s="185" t="str">
        <f>'PLAN COMPTABLE'!C64</f>
        <v>5415 - CEVES</v>
      </c>
      <c r="B103" s="172"/>
      <c r="C103" s="168"/>
      <c r="D103" s="170"/>
      <c r="E103" s="168"/>
      <c r="F103" s="170">
        <v>100</v>
      </c>
      <c r="H103" s="79">
        <v>100</v>
      </c>
      <c r="J103" s="79">
        <v>100</v>
      </c>
      <c r="L103" s="79">
        <v>100</v>
      </c>
      <c r="N103" s="79" t="s">
        <v>121</v>
      </c>
      <c r="P103" s="79" t="s">
        <v>121</v>
      </c>
      <c r="R103" s="79" t="s">
        <v>121</v>
      </c>
    </row>
    <row r="104" spans="1:18" x14ac:dyDescent="0.25">
      <c r="A104" s="112" t="str">
        <f>'PLAN COMPTABLE'!C66</f>
        <v>5430 - Mobilisation</v>
      </c>
      <c r="B104" s="172">
        <v>450</v>
      </c>
      <c r="C104" s="168"/>
      <c r="D104" s="170">
        <v>300</v>
      </c>
      <c r="E104" s="168"/>
      <c r="F104" s="170">
        <v>300</v>
      </c>
      <c r="G104" s="167"/>
      <c r="H104" s="79">
        <v>200</v>
      </c>
      <c r="I104" s="167"/>
      <c r="J104" s="79">
        <v>200</v>
      </c>
      <c r="L104" s="79">
        <v>300</v>
      </c>
      <c r="N104" s="79">
        <v>300</v>
      </c>
      <c r="O104" s="167"/>
      <c r="P104" s="79">
        <v>300</v>
      </c>
      <c r="R104" s="79">
        <v>300</v>
      </c>
    </row>
    <row r="105" spans="1:18" s="167" customFormat="1" x14ac:dyDescent="0.25">
      <c r="A105" s="222" t="str">
        <f>'PLAN COMPTABLE'!C67</f>
        <v>5440 - Fonds d'urgence</v>
      </c>
      <c r="B105" s="172"/>
      <c r="C105" s="168"/>
      <c r="D105" s="170"/>
      <c r="E105" s="168"/>
      <c r="F105" s="170"/>
      <c r="H105" s="79"/>
      <c r="J105" s="79">
        <v>850</v>
      </c>
      <c r="L105" s="79">
        <v>0</v>
      </c>
      <c r="N105" s="79">
        <v>200</v>
      </c>
      <c r="P105" s="79">
        <v>200</v>
      </c>
      <c r="R105" s="79">
        <v>200</v>
      </c>
    </row>
    <row r="106" spans="1:18" ht="13" x14ac:dyDescent="0.3">
      <c r="A106" s="109" t="s">
        <v>114</v>
      </c>
      <c r="B106" s="173">
        <f>SUM(B99:B104)</f>
        <v>1607.5</v>
      </c>
      <c r="C106" s="168"/>
      <c r="D106" s="173">
        <f>SUM(D99:D104)</f>
        <v>1457.5</v>
      </c>
      <c r="E106" s="168"/>
      <c r="F106" s="111">
        <f>SUM(F99:F104)</f>
        <v>450</v>
      </c>
      <c r="G106" s="167"/>
      <c r="H106" s="192">
        <f>SUM(H99:H104)</f>
        <v>350</v>
      </c>
      <c r="I106" s="167"/>
      <c r="J106" s="192">
        <f>SUM(J99:J104)</f>
        <v>500</v>
      </c>
      <c r="L106" s="192">
        <f>SUM(L99:L104)</f>
        <v>700</v>
      </c>
      <c r="N106" s="192">
        <f>SUM(N99:N104)</f>
        <v>500</v>
      </c>
      <c r="O106" s="167"/>
      <c r="P106" s="192">
        <f>SUM(P99:P104)</f>
        <v>500</v>
      </c>
      <c r="R106" s="192">
        <f>SUM(R99:R104)</f>
        <v>500</v>
      </c>
    </row>
    <row r="107" spans="1:18" ht="13" x14ac:dyDescent="0.25">
      <c r="A107" s="30"/>
      <c r="B107" s="108"/>
      <c r="C107" s="167"/>
      <c r="D107" s="108"/>
      <c r="E107" s="167"/>
      <c r="F107" s="108"/>
      <c r="G107" s="167"/>
      <c r="H107" s="167"/>
      <c r="I107" s="167"/>
      <c r="J107" s="167"/>
      <c r="L107" s="167"/>
      <c r="O107" s="167"/>
    </row>
    <row r="108" spans="1:18" ht="13" x14ac:dyDescent="0.25">
      <c r="A108" s="109" t="s">
        <v>115</v>
      </c>
      <c r="B108" s="110"/>
      <c r="C108" s="168"/>
      <c r="D108" s="110"/>
      <c r="E108" s="168"/>
      <c r="F108" s="110"/>
      <c r="G108" s="167"/>
      <c r="H108" s="167"/>
      <c r="I108" s="167"/>
      <c r="J108" s="167"/>
      <c r="L108" s="167"/>
      <c r="O108" s="167"/>
    </row>
    <row r="109" spans="1:18" x14ac:dyDescent="0.25">
      <c r="A109" s="169" t="str">
        <f>'PLAN COMPTABLE'!C68</f>
        <v>5500 - Vie Phi (remplacé 2025)</v>
      </c>
      <c r="B109" s="170"/>
      <c r="C109" s="168"/>
      <c r="D109" s="170">
        <v>100</v>
      </c>
      <c r="E109" s="168"/>
      <c r="F109" s="170">
        <v>100</v>
      </c>
      <c r="G109" s="167"/>
      <c r="H109" s="79">
        <v>100</v>
      </c>
      <c r="I109" s="167"/>
      <c r="J109" s="79">
        <v>100</v>
      </c>
      <c r="L109" s="79">
        <v>100</v>
      </c>
      <c r="N109" s="79">
        <v>100</v>
      </c>
      <c r="O109" s="167"/>
      <c r="P109" s="79">
        <v>100</v>
      </c>
      <c r="R109" s="79">
        <v>400</v>
      </c>
    </row>
    <row r="110" spans="1:18" x14ac:dyDescent="0.25">
      <c r="A110" s="169" t="str">
        <f>'PLAN COMPTABLE'!C69</f>
        <v>5510 - Ithaque</v>
      </c>
      <c r="B110" s="172">
        <v>1350</v>
      </c>
      <c r="C110" s="168"/>
      <c r="D110" s="170">
        <v>1550</v>
      </c>
      <c r="E110" s="168"/>
      <c r="F110" s="170">
        <v>1550</v>
      </c>
      <c r="G110" s="167"/>
      <c r="H110" s="79">
        <v>1550</v>
      </c>
      <c r="I110" s="167"/>
      <c r="J110" s="79">
        <v>1650</v>
      </c>
      <c r="L110" s="79">
        <v>1650</v>
      </c>
      <c r="N110" s="79">
        <v>1650</v>
      </c>
      <c r="O110" s="167"/>
      <c r="P110" s="79">
        <v>1650</v>
      </c>
      <c r="R110" s="79">
        <v>1650</v>
      </c>
    </row>
    <row r="111" spans="1:18" x14ac:dyDescent="0.25">
      <c r="A111" s="169" t="str">
        <f>'PLAN COMPTABLE'!C70</f>
        <v>5520 - Philopolis</v>
      </c>
      <c r="B111" s="172">
        <v>1600</v>
      </c>
      <c r="C111" s="168"/>
      <c r="D111" s="170">
        <v>1600</v>
      </c>
      <c r="E111" s="168"/>
      <c r="F111" s="170">
        <v>1400</v>
      </c>
      <c r="G111" s="167"/>
      <c r="H111" s="79">
        <v>1400</v>
      </c>
      <c r="I111" s="167"/>
      <c r="J111" s="79">
        <v>1500</v>
      </c>
      <c r="L111" s="79">
        <v>1500</v>
      </c>
      <c r="N111" s="79">
        <v>1500</v>
      </c>
      <c r="O111" s="167"/>
      <c r="P111" s="79">
        <v>1500</v>
      </c>
      <c r="R111" s="79">
        <v>1500</v>
      </c>
    </row>
    <row r="112" spans="1:18" x14ac:dyDescent="0.25">
      <c r="A112" s="169" t="str">
        <f>'PLAN COMPTABLE'!C71</f>
        <v>5530 - Lampadaire</v>
      </c>
      <c r="B112" s="172">
        <v>300</v>
      </c>
      <c r="C112" s="168"/>
      <c r="D112" s="170">
        <v>300</v>
      </c>
      <c r="E112" s="168"/>
      <c r="F112" s="170">
        <v>300</v>
      </c>
      <c r="G112" s="167"/>
      <c r="H112" s="79">
        <v>300</v>
      </c>
      <c r="I112" s="167"/>
      <c r="J112" s="79">
        <v>400</v>
      </c>
      <c r="L112" s="79">
        <v>400</v>
      </c>
      <c r="N112" s="79">
        <v>400</v>
      </c>
      <c r="O112" s="167"/>
      <c r="P112" s="79">
        <v>400</v>
      </c>
      <c r="R112" s="79">
        <v>400</v>
      </c>
    </row>
    <row r="113" spans="1:18" x14ac:dyDescent="0.25">
      <c r="A113" s="169" t="str">
        <f>'PLAN COMPTABLE'!C72</f>
        <v>5540 - Comité féministe de l'ADÉPUM</v>
      </c>
      <c r="B113" s="172">
        <v>900</v>
      </c>
      <c r="C113" s="168"/>
      <c r="D113" s="170">
        <v>1500</v>
      </c>
      <c r="E113" s="168"/>
      <c r="F113" s="170">
        <v>2705</v>
      </c>
      <c r="G113" s="167"/>
      <c r="H113" s="79">
        <v>1500</v>
      </c>
      <c r="I113" s="167"/>
      <c r="J113" s="79">
        <v>1600</v>
      </c>
      <c r="L113" s="79">
        <v>1600</v>
      </c>
      <c r="N113" s="79">
        <v>1600</v>
      </c>
      <c r="O113" s="167"/>
      <c r="P113" s="79">
        <v>1600</v>
      </c>
      <c r="R113" s="79">
        <v>1600</v>
      </c>
    </row>
    <row r="114" spans="1:18" s="167" customFormat="1" x14ac:dyDescent="0.25">
      <c r="A114" s="169" t="str">
        <f>'PLAN COMPTABLE'!C73</f>
        <v>5545 - Symposium de philosophie féministe</v>
      </c>
      <c r="B114" s="172"/>
      <c r="C114" s="168"/>
      <c r="D114" s="170"/>
      <c r="E114" s="168"/>
      <c r="F114" s="170">
        <v>400</v>
      </c>
      <c r="H114" s="79">
        <v>650</v>
      </c>
      <c r="J114" s="79">
        <v>0</v>
      </c>
      <c r="L114" s="79">
        <v>400</v>
      </c>
      <c r="N114" s="79">
        <v>400</v>
      </c>
      <c r="P114" s="79">
        <v>400</v>
      </c>
      <c r="R114" s="79">
        <v>400</v>
      </c>
    </row>
    <row r="115" spans="1:18" s="167" customFormat="1" x14ac:dyDescent="0.25">
      <c r="A115" s="169" t="s">
        <v>124</v>
      </c>
      <c r="B115" s="172"/>
      <c r="C115" s="168"/>
      <c r="D115" s="170">
        <v>300</v>
      </c>
      <c r="E115" s="168"/>
      <c r="F115" s="170">
        <v>300</v>
      </c>
      <c r="H115" s="79">
        <v>300</v>
      </c>
      <c r="J115" s="79">
        <v>400</v>
      </c>
      <c r="L115" s="79">
        <v>400</v>
      </c>
      <c r="N115" s="79">
        <v>400</v>
      </c>
      <c r="P115" s="79">
        <v>400</v>
      </c>
      <c r="R115" s="79">
        <v>400</v>
      </c>
    </row>
    <row r="116" spans="1:18" x14ac:dyDescent="0.25">
      <c r="A116" s="169" t="str">
        <f>'PLAN COMPTABLE'!C75</f>
        <v>5560 - Assemblées générales</v>
      </c>
      <c r="B116" s="172">
        <v>700</v>
      </c>
      <c r="C116" s="168"/>
      <c r="D116" s="170">
        <v>400</v>
      </c>
      <c r="E116" s="168"/>
      <c r="F116" s="170">
        <v>500</v>
      </c>
      <c r="G116" s="167"/>
      <c r="H116" s="79">
        <v>350</v>
      </c>
      <c r="I116" s="167"/>
      <c r="J116" s="79">
        <v>350</v>
      </c>
      <c r="L116" s="79">
        <v>350</v>
      </c>
      <c r="N116" s="79">
        <v>350</v>
      </c>
      <c r="O116" s="167"/>
      <c r="P116" s="79">
        <v>350</v>
      </c>
      <c r="R116" s="79">
        <v>350</v>
      </c>
    </row>
    <row r="117" spans="1:18" x14ac:dyDescent="0.25">
      <c r="A117" s="169" t="str">
        <f>'PLAN COMPTABLE'!C76</f>
        <v>5570 - Café et thé</v>
      </c>
      <c r="B117" s="172">
        <v>100</v>
      </c>
      <c r="C117" s="168"/>
      <c r="D117" s="170">
        <v>100</v>
      </c>
      <c r="E117" s="168"/>
      <c r="F117" s="170">
        <v>100</v>
      </c>
      <c r="G117" s="167"/>
      <c r="H117" s="79">
        <v>100</v>
      </c>
      <c r="I117" s="167"/>
      <c r="J117" s="79">
        <v>100</v>
      </c>
      <c r="L117" s="79">
        <v>100</v>
      </c>
      <c r="N117" s="79">
        <v>100</v>
      </c>
      <c r="O117" s="167"/>
      <c r="P117" s="79">
        <v>100</v>
      </c>
      <c r="R117" s="79">
        <v>100</v>
      </c>
    </row>
    <row r="118" spans="1:18" x14ac:dyDescent="0.25">
      <c r="A118" s="169" t="str">
        <f>'PLAN COMPTABLE'!C77</f>
        <v>5580 - Cadeaux aux secrétaires du Département de philosophie</v>
      </c>
      <c r="B118" s="172">
        <v>100</v>
      </c>
      <c r="C118" s="168"/>
      <c r="D118" s="170">
        <v>100</v>
      </c>
      <c r="E118" s="168"/>
      <c r="F118" s="170">
        <v>150</v>
      </c>
      <c r="G118" s="167"/>
      <c r="H118" s="79">
        <v>100</v>
      </c>
      <c r="I118" s="167"/>
      <c r="J118" s="79">
        <v>100</v>
      </c>
      <c r="L118" s="79">
        <v>100</v>
      </c>
      <c r="N118" s="79">
        <v>100</v>
      </c>
      <c r="O118" s="167"/>
      <c r="P118" s="79">
        <v>100</v>
      </c>
      <c r="R118" s="79">
        <v>100</v>
      </c>
    </row>
    <row r="119" spans="1:18" ht="13" x14ac:dyDescent="0.3">
      <c r="A119" s="109" t="s">
        <v>116</v>
      </c>
      <c r="B119" s="173">
        <f>SUM(B110:B118)</f>
        <v>5050</v>
      </c>
      <c r="C119" s="168"/>
      <c r="D119" s="173">
        <f>SUM(D110:D118)</f>
        <v>5850</v>
      </c>
      <c r="E119" s="168"/>
      <c r="F119" s="111">
        <f>SUM(F109:F118)</f>
        <v>7505</v>
      </c>
      <c r="G119" s="167"/>
      <c r="H119" s="192">
        <f>SUM(H109:H118)</f>
        <v>6350</v>
      </c>
      <c r="I119" s="167"/>
      <c r="J119" s="192">
        <f>SUM(J109:J118)</f>
        <v>6200</v>
      </c>
      <c r="L119" s="192">
        <f>SUM(L109:L118)</f>
        <v>6600</v>
      </c>
      <c r="N119" s="192">
        <f>SUM(N109:N118)</f>
        <v>6600</v>
      </c>
      <c r="O119" s="167"/>
      <c r="P119" s="192">
        <f>SUM(P109:P118)</f>
        <v>6600</v>
      </c>
      <c r="R119" s="192">
        <f>SUM(R109:R118)</f>
        <v>6900</v>
      </c>
    </row>
    <row r="120" spans="1:18" x14ac:dyDescent="0.25">
      <c r="B120" s="35"/>
      <c r="C120" s="167"/>
      <c r="D120" s="35"/>
      <c r="E120" s="167"/>
      <c r="F120" s="35"/>
      <c r="G120" s="167"/>
      <c r="H120" s="167"/>
      <c r="I120" s="167"/>
      <c r="J120" s="167"/>
      <c r="L120" s="167"/>
      <c r="O120" s="167"/>
    </row>
    <row r="121" spans="1:18" x14ac:dyDescent="0.25">
      <c r="B121" s="35"/>
      <c r="C121" s="167"/>
      <c r="D121" s="35"/>
      <c r="E121" s="167"/>
      <c r="F121" s="35"/>
      <c r="G121" s="167"/>
      <c r="H121" s="167"/>
      <c r="I121" s="167"/>
      <c r="J121" s="167"/>
      <c r="L121" s="167"/>
      <c r="O121" s="167"/>
    </row>
    <row r="122" spans="1:18" ht="16" thickBot="1" x14ac:dyDescent="0.4">
      <c r="A122" s="9" t="s">
        <v>125</v>
      </c>
      <c r="B122" s="143">
        <f>B73+B90+B96+B106+B119</f>
        <v>16847.5</v>
      </c>
      <c r="C122" s="8"/>
      <c r="D122" s="38">
        <f>D73+D90+D96+D106+D119</f>
        <v>14747.5</v>
      </c>
      <c r="E122" s="8"/>
      <c r="F122" s="38">
        <f>F73+F90+F96</f>
        <v>7740</v>
      </c>
      <c r="G122" s="167"/>
      <c r="H122" s="194">
        <f>H73+H90+H90</f>
        <v>6190</v>
      </c>
      <c r="I122" s="167"/>
      <c r="J122" s="194">
        <f>SUM(J73,J90,J96,J106,J119)</f>
        <v>14990</v>
      </c>
      <c r="L122" s="194">
        <f>SUM(L73,L90,L96,L106,L119)</f>
        <v>17690</v>
      </c>
      <c r="N122" s="194">
        <f>SUM(N73,N90,N96,N106,N119)</f>
        <v>17980</v>
      </c>
      <c r="O122" s="167"/>
      <c r="P122" s="194">
        <f>SUM(P73,P90,P96,P106,P119)</f>
        <v>17240</v>
      </c>
      <c r="R122" s="194">
        <f>SUM(R73,R90,R96,R106,R119)</f>
        <v>17340</v>
      </c>
    </row>
    <row r="123" spans="1:18" x14ac:dyDescent="0.25">
      <c r="B123" s="35"/>
      <c r="C123" s="167"/>
      <c r="D123" s="35"/>
      <c r="E123" s="167"/>
      <c r="F123" s="35"/>
      <c r="G123" s="167"/>
      <c r="H123" s="167"/>
      <c r="I123" s="167"/>
      <c r="J123" s="167"/>
      <c r="L123" s="167"/>
      <c r="O123" s="167"/>
    </row>
    <row r="124" spans="1:18" x14ac:dyDescent="0.25">
      <c r="B124" s="35"/>
      <c r="C124" s="167"/>
      <c r="D124" s="35"/>
      <c r="E124" s="167"/>
      <c r="F124" s="35"/>
      <c r="G124" s="167"/>
      <c r="H124" s="167"/>
      <c r="I124" s="167"/>
      <c r="J124" s="167"/>
      <c r="L124" s="167"/>
      <c r="O124" s="167"/>
    </row>
    <row r="125" spans="1:18" ht="16" thickBot="1" x14ac:dyDescent="0.4">
      <c r="A125" s="9" t="s">
        <v>126</v>
      </c>
      <c r="B125" s="144">
        <f>B61-B122</f>
        <v>39.229999999999563</v>
      </c>
      <c r="C125" s="8"/>
      <c r="D125" s="39">
        <f>D61-D122</f>
        <v>834.04999999999927</v>
      </c>
      <c r="E125" s="8"/>
      <c r="F125" s="39">
        <f>F61-F122</f>
        <v>1980.5</v>
      </c>
      <c r="G125" s="167"/>
      <c r="H125" s="197">
        <f>H61-H122</f>
        <v>7849.2999999999993</v>
      </c>
      <c r="I125" s="167"/>
      <c r="J125" s="197">
        <f>J61-J122</f>
        <v>4709.4199999999983</v>
      </c>
      <c r="L125" s="197">
        <f>L61-L122</f>
        <v>4972.5800000000017</v>
      </c>
      <c r="N125" s="197">
        <f>N61-N122</f>
        <v>5560.68</v>
      </c>
      <c r="O125" s="167"/>
      <c r="P125" s="197">
        <f>P61-P122</f>
        <v>7170</v>
      </c>
      <c r="R125" s="197">
        <f>R61-R122</f>
        <v>6997</v>
      </c>
    </row>
    <row r="126" spans="1:18" ht="13" thickTop="1" x14ac:dyDescent="0.25">
      <c r="B126" s="167"/>
      <c r="C126" s="167"/>
      <c r="D126" s="167"/>
      <c r="E126" s="167"/>
      <c r="F126" s="167"/>
      <c r="G126" s="167"/>
      <c r="H126" s="167"/>
      <c r="I126" s="167"/>
      <c r="J126" s="167"/>
      <c r="L126" s="167"/>
      <c r="O126" s="167"/>
    </row>
  </sheetData>
  <sheetProtection selectLockedCells="1"/>
  <phoneticPr fontId="11" type="noConversion"/>
  <printOptions horizontalCentered="1"/>
  <pageMargins left="0.5" right="0.5" top="0.5" bottom="0.5" header="0" footer="0.3"/>
  <pageSetup scale="65" orientation="portrait" blackAndWhite="1" r:id="rId1"/>
  <headerFooter>
    <oddFooter>&amp;C&amp;"Arial,Regular"&amp;8&amp;K000000Budgets_x000D_Page &amp;P de &amp;N</oddFooter>
  </headerFooter>
  <rowBreaks count="1" manualBreakCount="1">
    <brk id="86" max="16383" man="1"/>
  </rowBreaks>
  <colBreaks count="1" manualBreakCount="1">
    <brk id="6" max="1048575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'HIDDEN DATA'!$C$2:$C$4</xm:f>
          </x14:formula1>
          <xm:sqref>B5 F5 D5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  <pageSetUpPr fitToPage="1"/>
  </sheetPr>
  <dimension ref="A1:M604"/>
  <sheetViews>
    <sheetView tabSelected="1" zoomScale="115" zoomScaleNormal="115" workbookViewId="0">
      <pane ySplit="4" topLeftCell="A595" activePane="bottomLeft" state="frozen"/>
      <selection activeCell="D3" sqref="D3"/>
      <selection pane="bottomLeft" activeCell="A605" sqref="A605"/>
    </sheetView>
  </sheetViews>
  <sheetFormatPr defaultColWidth="10.83203125" defaultRowHeight="15.5" x14ac:dyDescent="0.35"/>
  <cols>
    <col min="1" max="1" width="9" style="17" bestFit="1" customWidth="1"/>
    <col min="2" max="2" width="15.83203125" style="18" customWidth="1"/>
    <col min="3" max="3" width="13.08203125" style="18" customWidth="1"/>
    <col min="4" max="4" width="31.08203125" customWidth="1"/>
    <col min="5" max="5" width="12.33203125" style="20" customWidth="1"/>
    <col min="6" max="6" width="13.5" style="20" hidden="1" customWidth="1"/>
    <col min="7" max="7" width="13.5" style="24" hidden="1" customWidth="1"/>
    <col min="8" max="8" width="9.83203125" style="19" customWidth="1"/>
    <col min="9" max="9" width="9.75" style="20" customWidth="1"/>
    <col min="10" max="10" width="32.5" style="20" customWidth="1"/>
    <col min="11" max="11" width="22" style="96" customWidth="1"/>
    <col min="12" max="12" width="17.58203125" style="23" customWidth="1"/>
    <col min="13" max="13" width="11.83203125" style="23" customWidth="1"/>
    <col min="14" max="14" width="14.08203125" style="23" customWidth="1"/>
    <col min="15" max="16384" width="10.83203125" style="23"/>
  </cols>
  <sheetData>
    <row r="1" spans="1:13" ht="18" x14ac:dyDescent="0.35">
      <c r="A1" s="78" t="str">
        <f>INFORMATION!D3</f>
        <v>ASSOCIATION DES ÉTUDIANTS ET ÉTUDIANTES EN PHILOSOPHIE</v>
      </c>
      <c r="B1" s="98"/>
      <c r="C1" s="98"/>
      <c r="D1" s="99"/>
      <c r="E1" s="237"/>
      <c r="F1" s="237"/>
      <c r="G1" s="100"/>
      <c r="H1" s="101"/>
      <c r="I1" s="237"/>
      <c r="J1" s="237"/>
    </row>
    <row r="2" spans="1:13" x14ac:dyDescent="0.35">
      <c r="A2" s="102" t="s">
        <v>127</v>
      </c>
      <c r="B2" s="98"/>
      <c r="C2" s="98"/>
      <c r="D2" s="99"/>
      <c r="E2" s="237"/>
      <c r="F2" s="237"/>
      <c r="G2" s="100"/>
      <c r="H2" s="101"/>
      <c r="I2" s="237"/>
      <c r="J2" s="237"/>
    </row>
    <row r="3" spans="1:13" x14ac:dyDescent="0.35">
      <c r="A3" s="102"/>
      <c r="B3" s="98"/>
      <c r="C3" s="98"/>
      <c r="D3" s="99"/>
      <c r="E3" s="237"/>
      <c r="F3" s="237"/>
      <c r="G3" s="100"/>
      <c r="H3" s="101"/>
      <c r="I3" s="237"/>
      <c r="J3" s="237"/>
    </row>
    <row r="4" spans="1:13" s="21" customFormat="1" ht="53.15" customHeight="1" x14ac:dyDescent="0.35">
      <c r="A4" s="80" t="s">
        <v>128</v>
      </c>
      <c r="B4" s="81" t="s">
        <v>129</v>
      </c>
      <c r="C4" s="82" t="s">
        <v>130</v>
      </c>
      <c r="D4" s="83" t="s">
        <v>131</v>
      </c>
      <c r="E4" s="82" t="s">
        <v>132</v>
      </c>
      <c r="F4" s="82" t="s">
        <v>133</v>
      </c>
      <c r="G4" s="82" t="s">
        <v>134</v>
      </c>
      <c r="H4" s="82" t="s">
        <v>135</v>
      </c>
      <c r="I4" s="84" t="s">
        <v>136</v>
      </c>
      <c r="J4" s="82" t="s">
        <v>137</v>
      </c>
      <c r="K4" s="95"/>
      <c r="L4" s="92" t="s">
        <v>138</v>
      </c>
      <c r="M4" s="91">
        <f>SUMIF($H:$H,"En cours",$I:$I)</f>
        <v>8746.39</v>
      </c>
    </row>
    <row r="5" spans="1:13" s="22" customFormat="1" ht="13" customHeight="1" x14ac:dyDescent="0.35">
      <c r="A5" s="118">
        <v>1</v>
      </c>
      <c r="B5" s="119">
        <v>42992</v>
      </c>
      <c r="C5" s="120" t="str">
        <f>LOOKUP(B5,'HIDDEN DATA'!$A:$B,'HIDDEN DATA'!$C:$C)</f>
        <v>2017-2018</v>
      </c>
      <c r="D5" s="121" t="s">
        <v>85</v>
      </c>
      <c r="E5" s="122" t="str">
        <f>VLOOKUP(D5,'PLAN COMPTABLE'!$C:$D,2,0)</f>
        <v>Charge</v>
      </c>
      <c r="F5" s="121" t="s">
        <v>139</v>
      </c>
      <c r="G5" s="123">
        <v>398</v>
      </c>
      <c r="H5" s="121" t="s">
        <v>140</v>
      </c>
      <c r="I5" s="124">
        <v>94.97</v>
      </c>
      <c r="J5" s="125" t="s">
        <v>141</v>
      </c>
      <c r="K5" s="94"/>
      <c r="L5" s="23"/>
      <c r="M5" s="23"/>
    </row>
    <row r="6" spans="1:13" ht="12.5" x14ac:dyDescent="0.35">
      <c r="A6" s="85">
        <v>2</v>
      </c>
      <c r="B6" s="86">
        <v>42992</v>
      </c>
      <c r="C6" s="93" t="str">
        <f>LOOKUP(B6,'HIDDEN DATA'!$A:$B,'HIDDEN DATA'!$C:$C)</f>
        <v>2017-2018</v>
      </c>
      <c r="D6" s="121" t="s">
        <v>85</v>
      </c>
      <c r="E6" s="97" t="str">
        <f>VLOOKUP(D6,'PLAN COMPTABLE'!$C:$D,2,0)</f>
        <v>Charge</v>
      </c>
      <c r="F6" s="88" t="s">
        <v>139</v>
      </c>
      <c r="G6" s="87">
        <v>399</v>
      </c>
      <c r="H6" s="88" t="s">
        <v>140</v>
      </c>
      <c r="I6" s="89">
        <v>353.82</v>
      </c>
      <c r="J6" s="90" t="s">
        <v>142</v>
      </c>
    </row>
    <row r="7" spans="1:13" ht="12.5" x14ac:dyDescent="0.35">
      <c r="A7" s="17">
        <v>3</v>
      </c>
      <c r="B7" s="18">
        <v>42999</v>
      </c>
      <c r="C7" s="126" t="str">
        <f>LOOKUP(B7,'HIDDEN DATA'!$A:$B,'HIDDEN DATA'!$C:$C)</f>
        <v>2017-2018</v>
      </c>
      <c r="D7" s="121" t="s">
        <v>143</v>
      </c>
      <c r="E7" s="127" t="str">
        <f>VLOOKUP(D7,'PLAN COMPTABLE'!$C:$D,2,0)</f>
        <v>Charge</v>
      </c>
      <c r="F7" s="166" t="s">
        <v>139</v>
      </c>
      <c r="G7" s="19">
        <v>401</v>
      </c>
      <c r="H7" s="166" t="s">
        <v>140</v>
      </c>
      <c r="I7" s="128">
        <v>40</v>
      </c>
      <c r="J7" s="171" t="s">
        <v>144</v>
      </c>
    </row>
    <row r="8" spans="1:13" ht="12.5" x14ac:dyDescent="0.35">
      <c r="A8" s="17">
        <v>4</v>
      </c>
      <c r="B8" s="18">
        <v>42999</v>
      </c>
      <c r="C8" s="126" t="str">
        <f>LOOKUP(B8,'HIDDEN DATA'!$A:$B,'HIDDEN DATA'!$C:$C)</f>
        <v>2017-2018</v>
      </c>
      <c r="D8" s="121" t="s">
        <v>143</v>
      </c>
      <c r="E8" s="127" t="str">
        <f>VLOOKUP(D8,'PLAN COMPTABLE'!$C:$D,2,0)</f>
        <v>Charge</v>
      </c>
      <c r="F8" s="166" t="s">
        <v>139</v>
      </c>
      <c r="G8" s="19">
        <v>402</v>
      </c>
      <c r="H8" s="166" t="s">
        <v>140</v>
      </c>
      <c r="I8" s="128">
        <v>133.44</v>
      </c>
      <c r="J8" s="171" t="s">
        <v>145</v>
      </c>
    </row>
    <row r="9" spans="1:13" ht="12.5" x14ac:dyDescent="0.35">
      <c r="A9" s="17">
        <v>4</v>
      </c>
      <c r="B9" s="18">
        <v>42999</v>
      </c>
      <c r="C9" s="126" t="str">
        <f>LOOKUP(B9,'HIDDEN DATA'!$A:$B,'HIDDEN DATA'!$C:$C)</f>
        <v>2017-2018</v>
      </c>
      <c r="D9" s="121" t="s">
        <v>146</v>
      </c>
      <c r="E9" s="127" t="str">
        <f>VLOOKUP(D9,'PLAN COMPTABLE'!$C:$D,2,0)</f>
        <v>Charge</v>
      </c>
      <c r="F9" s="166" t="s">
        <v>139</v>
      </c>
      <c r="G9" s="19">
        <v>402</v>
      </c>
      <c r="H9" s="166" t="s">
        <v>140</v>
      </c>
      <c r="I9" s="128"/>
      <c r="J9" s="171" t="s">
        <v>145</v>
      </c>
    </row>
    <row r="10" spans="1:13" ht="12.5" x14ac:dyDescent="0.35">
      <c r="A10" s="17">
        <v>5</v>
      </c>
      <c r="B10" s="18">
        <v>42992</v>
      </c>
      <c r="C10" s="126" t="str">
        <f>LOOKUP(B10,'HIDDEN DATA'!$A:$B,'HIDDEN DATA'!$C:$C)</f>
        <v>2017-2018</v>
      </c>
      <c r="D10" s="166" t="s">
        <v>143</v>
      </c>
      <c r="E10" s="127" t="str">
        <f>VLOOKUP(D10,'PLAN COMPTABLE'!$C:$D,2,0)</f>
        <v>Charge</v>
      </c>
      <c r="F10" s="166" t="s">
        <v>139</v>
      </c>
      <c r="G10" s="19">
        <v>403</v>
      </c>
      <c r="H10" s="166" t="s">
        <v>140</v>
      </c>
      <c r="I10" s="128">
        <v>66.760000000000005</v>
      </c>
      <c r="J10" s="171" t="s">
        <v>147</v>
      </c>
    </row>
    <row r="11" spans="1:13" ht="12.5" x14ac:dyDescent="0.35">
      <c r="A11" s="17">
        <v>6</v>
      </c>
      <c r="B11" s="18">
        <v>42999</v>
      </c>
      <c r="C11" s="126" t="str">
        <f>LOOKUP(B11,'HIDDEN DATA'!$A:$B,'HIDDEN DATA'!$C:$C)</f>
        <v>2017-2018</v>
      </c>
      <c r="D11" s="166" t="s">
        <v>148</v>
      </c>
      <c r="E11" s="127" t="e">
        <f>VLOOKUP(D11,'PLAN COMPTABLE'!$C:$D,2,0)</f>
        <v>#N/A</v>
      </c>
      <c r="F11" s="166" t="s">
        <v>139</v>
      </c>
      <c r="G11" s="19">
        <v>404</v>
      </c>
      <c r="H11" s="166" t="s">
        <v>140</v>
      </c>
      <c r="I11" s="128">
        <v>86.8</v>
      </c>
      <c r="J11" s="171" t="s">
        <v>149</v>
      </c>
    </row>
    <row r="12" spans="1:13" ht="12.5" x14ac:dyDescent="0.35">
      <c r="A12" s="17">
        <v>7</v>
      </c>
      <c r="B12" s="18">
        <v>42999</v>
      </c>
      <c r="C12" s="126" t="str">
        <f>LOOKUP(B12,'HIDDEN DATA'!$A:$B,'HIDDEN DATA'!$C:$C)</f>
        <v>2017-2018</v>
      </c>
      <c r="D12" s="166" t="s">
        <v>85</v>
      </c>
      <c r="E12" s="127" t="str">
        <f>VLOOKUP(D12,'PLAN COMPTABLE'!$C:$D,2,0)</f>
        <v>Charge</v>
      </c>
      <c r="F12" s="166" t="s">
        <v>139</v>
      </c>
      <c r="G12" s="19">
        <v>405</v>
      </c>
      <c r="H12" s="166" t="s">
        <v>140</v>
      </c>
      <c r="I12" s="128">
        <v>41.4</v>
      </c>
      <c r="J12" s="171" t="s">
        <v>150</v>
      </c>
    </row>
    <row r="13" spans="1:13" ht="12.5" x14ac:dyDescent="0.35">
      <c r="A13" s="17">
        <v>8</v>
      </c>
      <c r="B13" s="18">
        <v>43038</v>
      </c>
      <c r="C13" s="126" t="str">
        <f>LOOKUP(B13,'HIDDEN DATA'!$A:$B,'HIDDEN DATA'!$C:$C)</f>
        <v>2017-2018</v>
      </c>
      <c r="D13" s="166" t="s">
        <v>151</v>
      </c>
      <c r="E13" s="127" t="str">
        <f>VLOOKUP(D13,'PLAN COMPTABLE'!$C:$D,2,0)</f>
        <v>Charge</v>
      </c>
      <c r="F13" s="166" t="s">
        <v>139</v>
      </c>
      <c r="G13" s="19">
        <v>409</v>
      </c>
      <c r="H13" s="166" t="s">
        <v>140</v>
      </c>
      <c r="I13" s="128">
        <v>32</v>
      </c>
      <c r="J13" s="171" t="s">
        <v>152</v>
      </c>
    </row>
    <row r="14" spans="1:13" ht="12.5" x14ac:dyDescent="0.35">
      <c r="A14" s="17">
        <v>9</v>
      </c>
      <c r="B14" s="18">
        <v>43049</v>
      </c>
      <c r="C14" s="126" t="str">
        <f>LOOKUP(B14,'HIDDEN DATA'!$A:$B,'HIDDEN DATA'!$C:$C)</f>
        <v>2017-2018</v>
      </c>
      <c r="D14" s="166" t="s">
        <v>143</v>
      </c>
      <c r="E14" s="127" t="str">
        <f>VLOOKUP(D14,'PLAN COMPTABLE'!$C:$D,2,0)</f>
        <v>Charge</v>
      </c>
      <c r="F14" s="166" t="s">
        <v>139</v>
      </c>
      <c r="G14" s="19">
        <v>412</v>
      </c>
      <c r="H14" s="166" t="s">
        <v>140</v>
      </c>
      <c r="I14" s="128">
        <v>25</v>
      </c>
      <c r="J14" s="171" t="s">
        <v>144</v>
      </c>
    </row>
    <row r="15" spans="1:13" ht="12.5" x14ac:dyDescent="0.35">
      <c r="A15" s="17">
        <v>9</v>
      </c>
      <c r="B15" s="18">
        <v>43049</v>
      </c>
      <c r="C15" s="126" t="str">
        <f>LOOKUP(B15,'HIDDEN DATA'!$A:$B,'HIDDEN DATA'!$C:$C)</f>
        <v>2017-2018</v>
      </c>
      <c r="D15" s="166" t="s">
        <v>85</v>
      </c>
      <c r="E15" s="127" t="str">
        <f>VLOOKUP(D15,'PLAN COMPTABLE'!$C:$D,2,0)</f>
        <v>Charge</v>
      </c>
      <c r="F15" s="166" t="s">
        <v>139</v>
      </c>
      <c r="G15" s="19">
        <v>412</v>
      </c>
      <c r="H15" s="166" t="s">
        <v>140</v>
      </c>
      <c r="I15" s="128">
        <f>155.36+40.27</f>
        <v>195.63000000000002</v>
      </c>
      <c r="J15" s="171" t="s">
        <v>144</v>
      </c>
    </row>
    <row r="16" spans="1:13" ht="12.5" x14ac:dyDescent="0.35">
      <c r="A16" s="17">
        <v>9</v>
      </c>
      <c r="B16" s="18">
        <v>43049</v>
      </c>
      <c r="C16" s="126" t="str">
        <f>LOOKUP(B16,'HIDDEN DATA'!$A:$B,'HIDDEN DATA'!$C:$C)</f>
        <v>2017-2018</v>
      </c>
      <c r="D16" s="166" t="s">
        <v>146</v>
      </c>
      <c r="E16" s="127" t="str">
        <f>VLOOKUP(D16,'PLAN COMPTABLE'!$C:$D,2,0)</f>
        <v>Charge</v>
      </c>
      <c r="F16" s="166" t="s">
        <v>139</v>
      </c>
      <c r="G16" s="19">
        <v>412</v>
      </c>
      <c r="H16" s="166" t="s">
        <v>140</v>
      </c>
      <c r="I16" s="128">
        <v>10.99</v>
      </c>
      <c r="J16" s="171" t="s">
        <v>144</v>
      </c>
    </row>
    <row r="17" spans="1:10" ht="12.5" x14ac:dyDescent="0.35">
      <c r="A17" s="17">
        <v>9</v>
      </c>
      <c r="B17" s="18">
        <v>43049</v>
      </c>
      <c r="C17" s="126" t="str">
        <f>LOOKUP(B17,'HIDDEN DATA'!$A:$B,'HIDDEN DATA'!$C:$C)</f>
        <v>2017-2018</v>
      </c>
      <c r="D17" s="166" t="s">
        <v>153</v>
      </c>
      <c r="E17" s="127" t="str">
        <f>VLOOKUP(D17,'PLAN COMPTABLE'!$C:$D,2,0)</f>
        <v>Charge</v>
      </c>
      <c r="F17" s="166" t="s">
        <v>139</v>
      </c>
      <c r="G17" s="19">
        <v>412</v>
      </c>
      <c r="H17" s="166" t="s">
        <v>140</v>
      </c>
      <c r="I17" s="128">
        <v>380.52</v>
      </c>
      <c r="J17" s="171" t="s">
        <v>144</v>
      </c>
    </row>
    <row r="18" spans="1:10" ht="12.5" x14ac:dyDescent="0.35">
      <c r="A18" s="17">
        <v>10</v>
      </c>
      <c r="B18" s="18">
        <v>43049</v>
      </c>
      <c r="C18" s="126" t="str">
        <f>LOOKUP(B18,'HIDDEN DATA'!$A:$B,'HIDDEN DATA'!$C:$C)</f>
        <v>2017-2018</v>
      </c>
      <c r="D18" s="166" t="s">
        <v>153</v>
      </c>
      <c r="E18" s="127" t="str">
        <f>VLOOKUP(D18,'PLAN COMPTABLE'!$C:$D,2,0)</f>
        <v>Charge</v>
      </c>
      <c r="F18" s="166" t="s">
        <v>139</v>
      </c>
      <c r="G18" s="19">
        <v>413</v>
      </c>
      <c r="H18" s="166" t="s">
        <v>140</v>
      </c>
      <c r="I18" s="128">
        <v>364.85</v>
      </c>
      <c r="J18" s="171" t="s">
        <v>150</v>
      </c>
    </row>
    <row r="19" spans="1:10" ht="12.5" x14ac:dyDescent="0.35">
      <c r="A19" s="17">
        <v>11</v>
      </c>
      <c r="B19" s="18">
        <v>43049</v>
      </c>
      <c r="C19" s="126" t="str">
        <f>LOOKUP(B19,'HIDDEN DATA'!$A:$B,'HIDDEN DATA'!$C:$C)</f>
        <v>2017-2018</v>
      </c>
      <c r="D19" s="166" t="s">
        <v>154</v>
      </c>
      <c r="E19" s="127" t="str">
        <f>VLOOKUP(D19,'PLAN COMPTABLE'!$C:$D,2,0)</f>
        <v>Charge</v>
      </c>
      <c r="F19" s="166" t="s">
        <v>139</v>
      </c>
      <c r="G19" s="19">
        <v>414</v>
      </c>
      <c r="H19" s="166" t="s">
        <v>140</v>
      </c>
      <c r="I19" s="128">
        <v>27.63</v>
      </c>
      <c r="J19" s="171" t="s">
        <v>155</v>
      </c>
    </row>
    <row r="20" spans="1:10" ht="12.5" x14ac:dyDescent="0.35">
      <c r="A20" s="17">
        <v>12</v>
      </c>
      <c r="B20" s="18">
        <v>43076</v>
      </c>
      <c r="C20" s="126" t="str">
        <f>LOOKUP(B20,'HIDDEN DATA'!$A:$B,'HIDDEN DATA'!$C:$C)</f>
        <v>2017-2018</v>
      </c>
      <c r="D20" s="166" t="s">
        <v>156</v>
      </c>
      <c r="E20" s="127" t="str">
        <f>VLOOKUP(D20,'PLAN COMPTABLE'!$C:$D,2,0)</f>
        <v>Charge</v>
      </c>
      <c r="F20" s="166" t="s">
        <v>139</v>
      </c>
      <c r="G20" s="19">
        <v>418</v>
      </c>
      <c r="H20" s="166" t="s">
        <v>140</v>
      </c>
      <c r="I20" s="128">
        <v>7.98</v>
      </c>
      <c r="J20" s="171" t="s">
        <v>150</v>
      </c>
    </row>
    <row r="21" spans="1:10" ht="12.5" x14ac:dyDescent="0.35">
      <c r="A21" s="17">
        <v>13</v>
      </c>
      <c r="B21" s="18">
        <v>43076</v>
      </c>
      <c r="C21" s="126" t="str">
        <f>LOOKUP(B21,'HIDDEN DATA'!$A:$B,'HIDDEN DATA'!$C:$C)</f>
        <v>2017-2018</v>
      </c>
      <c r="D21" s="166" t="s">
        <v>157</v>
      </c>
      <c r="E21" s="127" t="str">
        <f>VLOOKUP(D21,'PLAN COMPTABLE'!$C:$D,2,0)</f>
        <v>Charge</v>
      </c>
      <c r="F21" s="166" t="s">
        <v>139</v>
      </c>
      <c r="G21" s="19">
        <v>420</v>
      </c>
      <c r="H21" s="166" t="s">
        <v>140</v>
      </c>
      <c r="I21" s="128">
        <v>1350</v>
      </c>
      <c r="J21" s="171" t="s">
        <v>158</v>
      </c>
    </row>
    <row r="22" spans="1:10" ht="12.5" x14ac:dyDescent="0.35">
      <c r="A22" s="17">
        <v>14</v>
      </c>
      <c r="B22" s="18">
        <v>43110</v>
      </c>
      <c r="C22" s="126" t="str">
        <f>LOOKUP(B22,'HIDDEN DATA'!$A:$B,'HIDDEN DATA'!$C:$C)</f>
        <v>2017-2018</v>
      </c>
      <c r="D22" s="166" t="s">
        <v>146</v>
      </c>
      <c r="E22" s="127" t="str">
        <f>VLOOKUP(D22,'PLAN COMPTABLE'!$C:$D,2,0)</f>
        <v>Charge</v>
      </c>
      <c r="F22" s="166" t="s">
        <v>139</v>
      </c>
      <c r="G22" s="19">
        <v>422</v>
      </c>
      <c r="H22" s="166" t="s">
        <v>140</v>
      </c>
      <c r="I22" s="128">
        <v>6.99</v>
      </c>
      <c r="J22" s="171" t="s">
        <v>144</v>
      </c>
    </row>
    <row r="23" spans="1:10" ht="12.5" x14ac:dyDescent="0.35">
      <c r="A23" s="17">
        <v>15</v>
      </c>
      <c r="B23" s="18">
        <v>43110</v>
      </c>
      <c r="C23" s="126" t="str">
        <f>LOOKUP(B23,'HIDDEN DATA'!$A:$B,'HIDDEN DATA'!$C:$C)</f>
        <v>2017-2018</v>
      </c>
      <c r="D23" s="166" t="s">
        <v>159</v>
      </c>
      <c r="E23" s="127" t="str">
        <f>VLOOKUP(D23,'PLAN COMPTABLE'!$C:$D,2,0)</f>
        <v>Charge</v>
      </c>
      <c r="F23" s="166" t="s">
        <v>139</v>
      </c>
      <c r="G23" s="19">
        <v>423</v>
      </c>
      <c r="H23" s="166" t="s">
        <v>140</v>
      </c>
      <c r="I23" s="128">
        <v>380.22</v>
      </c>
      <c r="J23" s="171" t="s">
        <v>144</v>
      </c>
    </row>
    <row r="24" spans="1:10" ht="12.5" x14ac:dyDescent="0.35">
      <c r="A24" s="17">
        <v>16</v>
      </c>
      <c r="B24" s="18">
        <v>43110</v>
      </c>
      <c r="C24" s="126" t="str">
        <f>LOOKUP(B24,'HIDDEN DATA'!$A:$B,'HIDDEN DATA'!$C:$C)</f>
        <v>2017-2018</v>
      </c>
      <c r="D24" s="166" t="s">
        <v>160</v>
      </c>
      <c r="E24" s="127" t="str">
        <f>VLOOKUP(D24,'PLAN COMPTABLE'!$C:$D,2,0)</f>
        <v>Charge</v>
      </c>
      <c r="F24" s="166" t="s">
        <v>139</v>
      </c>
      <c r="G24" s="19">
        <v>424</v>
      </c>
      <c r="H24" s="166" t="s">
        <v>140</v>
      </c>
      <c r="I24" s="128">
        <v>100</v>
      </c>
      <c r="J24" s="171" t="s">
        <v>144</v>
      </c>
    </row>
    <row r="25" spans="1:10" ht="12.5" x14ac:dyDescent="0.35">
      <c r="A25" s="17">
        <v>17</v>
      </c>
      <c r="B25" s="18">
        <v>43111</v>
      </c>
      <c r="C25" s="126" t="str">
        <f>LOOKUP(B25,'HIDDEN DATA'!$A:$B,'HIDDEN DATA'!$C:$C)</f>
        <v>2017-2018</v>
      </c>
      <c r="D25" s="166" t="s">
        <v>143</v>
      </c>
      <c r="E25" s="127" t="str">
        <f>VLOOKUP(D25,'PLAN COMPTABLE'!$C:$D,2,0)</f>
        <v>Charge</v>
      </c>
      <c r="F25" s="166" t="s">
        <v>139</v>
      </c>
      <c r="G25" s="19">
        <v>425</v>
      </c>
      <c r="H25" s="166" t="s">
        <v>140</v>
      </c>
      <c r="I25" s="128">
        <v>154.88999999999999</v>
      </c>
      <c r="J25" s="171" t="s">
        <v>161</v>
      </c>
    </row>
    <row r="26" spans="1:10" ht="12.5" x14ac:dyDescent="0.35">
      <c r="A26" s="17">
        <v>18</v>
      </c>
      <c r="B26" s="18">
        <v>43111</v>
      </c>
      <c r="C26" s="126" t="str">
        <f>LOOKUP(B26,'HIDDEN DATA'!$A:$B,'HIDDEN DATA'!$C:$C)</f>
        <v>2017-2018</v>
      </c>
      <c r="D26" s="166" t="s">
        <v>143</v>
      </c>
      <c r="E26" s="127" t="str">
        <f>VLOOKUP(D26,'PLAN COMPTABLE'!$C:$D,2,0)</f>
        <v>Charge</v>
      </c>
      <c r="F26" s="166" t="s">
        <v>139</v>
      </c>
      <c r="G26" s="19">
        <v>426</v>
      </c>
      <c r="H26" s="166" t="s">
        <v>140</v>
      </c>
      <c r="I26" s="128">
        <v>48.12</v>
      </c>
      <c r="J26" s="171" t="s">
        <v>162</v>
      </c>
    </row>
    <row r="27" spans="1:10" ht="12.5" x14ac:dyDescent="0.35">
      <c r="A27" s="17">
        <v>19</v>
      </c>
      <c r="B27" s="18">
        <v>43116</v>
      </c>
      <c r="C27" s="126" t="str">
        <f>LOOKUP(B27,'HIDDEN DATA'!$A:$B,'HIDDEN DATA'!$C:$C)</f>
        <v>2017-2018</v>
      </c>
      <c r="D27" s="166" t="s">
        <v>148</v>
      </c>
      <c r="E27" s="127" t="e">
        <f>VLOOKUP(D27,'PLAN COMPTABLE'!$C:$D,2,0)</f>
        <v>#N/A</v>
      </c>
      <c r="F27" s="166" t="s">
        <v>139</v>
      </c>
      <c r="G27" s="19">
        <v>427</v>
      </c>
      <c r="H27" s="166" t="s">
        <v>140</v>
      </c>
      <c r="I27" s="128">
        <v>298.97000000000003</v>
      </c>
      <c r="J27" s="171" t="s">
        <v>163</v>
      </c>
    </row>
    <row r="28" spans="1:10" ht="12.5" x14ac:dyDescent="0.35">
      <c r="A28" s="17">
        <v>20</v>
      </c>
      <c r="B28" s="18">
        <v>43116</v>
      </c>
      <c r="C28" s="126" t="str">
        <f>LOOKUP(B28,'HIDDEN DATA'!$A:$B,'HIDDEN DATA'!$C:$C)</f>
        <v>2017-2018</v>
      </c>
      <c r="D28" s="166" t="s">
        <v>156</v>
      </c>
      <c r="E28" s="127" t="str">
        <f>VLOOKUP(D28,'PLAN COMPTABLE'!$C:$D,2,0)</f>
        <v>Charge</v>
      </c>
      <c r="F28" s="166" t="s">
        <v>139</v>
      </c>
      <c r="G28" s="19">
        <v>428</v>
      </c>
      <c r="H28" s="166" t="s">
        <v>140</v>
      </c>
      <c r="I28" s="128">
        <v>70.739999999999995</v>
      </c>
      <c r="J28" s="171" t="s">
        <v>164</v>
      </c>
    </row>
    <row r="29" spans="1:10" ht="12.5" x14ac:dyDescent="0.35">
      <c r="A29" s="17">
        <v>21</v>
      </c>
      <c r="B29" s="18">
        <v>43126</v>
      </c>
      <c r="C29" s="126" t="str">
        <f>LOOKUP(B29,'HIDDEN DATA'!$A:$B,'HIDDEN DATA'!$C:$C)</f>
        <v>2017-2018</v>
      </c>
      <c r="D29" s="166" t="s">
        <v>156</v>
      </c>
      <c r="E29" s="127" t="str">
        <f>VLOOKUP(D29,'PLAN COMPTABLE'!$C:$D,2,0)</f>
        <v>Charge</v>
      </c>
      <c r="F29" s="166" t="s">
        <v>139</v>
      </c>
      <c r="G29" s="19">
        <v>429</v>
      </c>
      <c r="H29" s="166" t="s">
        <v>140</v>
      </c>
      <c r="I29" s="128">
        <v>204.09</v>
      </c>
      <c r="J29" s="171" t="s">
        <v>147</v>
      </c>
    </row>
    <row r="30" spans="1:10" ht="12.5" x14ac:dyDescent="0.35">
      <c r="A30" s="17">
        <v>22</v>
      </c>
      <c r="B30" s="18">
        <v>43014</v>
      </c>
      <c r="C30" s="126" t="str">
        <f>LOOKUP(B30,'HIDDEN DATA'!$A:$B,'HIDDEN DATA'!$C:$C)</f>
        <v>2017-2018</v>
      </c>
      <c r="D30" s="166" t="s">
        <v>165</v>
      </c>
      <c r="E30" s="127" t="str">
        <f>VLOOKUP(D30,'PLAN COMPTABLE'!$C:$D,2,0)</f>
        <v>Produit</v>
      </c>
      <c r="F30" s="166" t="s">
        <v>139</v>
      </c>
      <c r="G30" s="19">
        <v>877</v>
      </c>
      <c r="H30" s="166" t="s">
        <v>140</v>
      </c>
      <c r="I30" s="128">
        <v>1078.28</v>
      </c>
      <c r="J30" s="171" t="s">
        <v>166</v>
      </c>
    </row>
    <row r="31" spans="1:10" ht="12.5" x14ac:dyDescent="0.35">
      <c r="A31" s="17">
        <v>23</v>
      </c>
      <c r="B31" s="18">
        <v>43006</v>
      </c>
      <c r="C31" s="126" t="str">
        <f>LOOKUP(B31,'HIDDEN DATA'!$A:$B,'HIDDEN DATA'!$C:$C)</f>
        <v>2017-2018</v>
      </c>
      <c r="D31" s="166" t="s">
        <v>167</v>
      </c>
      <c r="E31" s="127" t="str">
        <f>VLOOKUP(D31,'PLAN COMPTABLE'!$C:$D,2,0)</f>
        <v>Produit</v>
      </c>
      <c r="F31" s="166" t="s">
        <v>139</v>
      </c>
      <c r="G31" s="19">
        <v>952293</v>
      </c>
      <c r="H31" s="166" t="s">
        <v>140</v>
      </c>
      <c r="I31" s="128">
        <v>2478</v>
      </c>
      <c r="J31" s="171" t="s">
        <v>168</v>
      </c>
    </row>
    <row r="32" spans="1:10" ht="12.5" x14ac:dyDescent="0.35">
      <c r="A32" s="17">
        <v>24</v>
      </c>
      <c r="B32" s="18">
        <v>43006</v>
      </c>
      <c r="C32" s="126" t="str">
        <f>LOOKUP(B32,'HIDDEN DATA'!$A:$B,'HIDDEN DATA'!$C:$C)</f>
        <v>2017-2018</v>
      </c>
      <c r="D32" s="166" t="s">
        <v>169</v>
      </c>
      <c r="E32" s="127" t="str">
        <f>VLOOKUP(D32,'PLAN COMPTABLE'!$C:$D,2,0)</f>
        <v>Produit</v>
      </c>
      <c r="F32" s="166" t="s">
        <v>139</v>
      </c>
      <c r="G32" s="19">
        <v>952292</v>
      </c>
      <c r="H32" s="166" t="s">
        <v>140</v>
      </c>
      <c r="I32" s="128">
        <v>1017</v>
      </c>
      <c r="J32" s="171" t="s">
        <v>168</v>
      </c>
    </row>
    <row r="33" spans="1:11" ht="12.5" x14ac:dyDescent="0.35">
      <c r="A33" s="17">
        <v>24</v>
      </c>
      <c r="B33" s="18">
        <v>43006</v>
      </c>
      <c r="C33" s="126" t="str">
        <f>LOOKUP(B33,'HIDDEN DATA'!$A:$B,'HIDDEN DATA'!$C:$C)</f>
        <v>2017-2018</v>
      </c>
      <c r="D33" s="166" t="s">
        <v>170</v>
      </c>
      <c r="E33" s="127" t="str">
        <f>VLOOKUP(D33,'PLAN COMPTABLE'!$C:$D,2,0)</f>
        <v>Produit</v>
      </c>
      <c r="F33" s="166" t="s">
        <v>139</v>
      </c>
      <c r="G33" s="19">
        <v>952292</v>
      </c>
      <c r="H33" s="166" t="s">
        <v>140</v>
      </c>
      <c r="I33" s="128">
        <v>285</v>
      </c>
      <c r="J33" s="171" t="s">
        <v>168</v>
      </c>
    </row>
    <row r="34" spans="1:11" ht="12.5" x14ac:dyDescent="0.35">
      <c r="A34" s="17">
        <v>25</v>
      </c>
      <c r="B34" s="18">
        <v>43006</v>
      </c>
      <c r="C34" s="126" t="str">
        <f>LOOKUP(B34,'HIDDEN DATA'!$A:$B,'HIDDEN DATA'!$C:$C)</f>
        <v>2017-2018</v>
      </c>
      <c r="D34" s="166" t="s">
        <v>171</v>
      </c>
      <c r="E34" s="127" t="str">
        <f>VLOOKUP(D34,'PLAN COMPTABLE'!$C:$D,2,0)</f>
        <v>Produit</v>
      </c>
      <c r="F34" s="166" t="s">
        <v>172</v>
      </c>
      <c r="G34" s="19"/>
      <c r="H34" s="166" t="s">
        <v>140</v>
      </c>
      <c r="I34" s="128">
        <v>5573.3</v>
      </c>
      <c r="J34" s="171" t="s">
        <v>173</v>
      </c>
    </row>
    <row r="35" spans="1:11" ht="12.5" x14ac:dyDescent="0.35">
      <c r="A35" s="17">
        <v>26</v>
      </c>
      <c r="B35" s="18">
        <v>43109</v>
      </c>
      <c r="C35" s="126" t="str">
        <f>LOOKUP(B35,'HIDDEN DATA'!$A:$B,'HIDDEN DATA'!$C:$C)</f>
        <v>2017-2018</v>
      </c>
      <c r="D35" s="166" t="s">
        <v>167</v>
      </c>
      <c r="E35" s="127" t="str">
        <f>VLOOKUP(D35,'PLAN COMPTABLE'!$C:$D,2,0)</f>
        <v>Produit</v>
      </c>
      <c r="F35" s="166" t="s">
        <v>139</v>
      </c>
      <c r="G35" s="19">
        <v>964815</v>
      </c>
      <c r="H35" s="166" t="s">
        <v>140</v>
      </c>
      <c r="I35" s="128">
        <v>1662</v>
      </c>
      <c r="J35" s="171" t="s">
        <v>168</v>
      </c>
    </row>
    <row r="36" spans="1:11" ht="12.5" x14ac:dyDescent="0.35">
      <c r="A36" s="17">
        <v>27</v>
      </c>
      <c r="B36" s="18">
        <v>43109</v>
      </c>
      <c r="C36" s="126" t="str">
        <f>LOOKUP(B36,'HIDDEN DATA'!$A:$B,'HIDDEN DATA'!$C:$C)</f>
        <v>2017-2018</v>
      </c>
      <c r="D36" s="166" t="s">
        <v>170</v>
      </c>
      <c r="E36" s="127" t="str">
        <f>VLOOKUP(D36,'PLAN COMPTABLE'!$C:$D,2,0)</f>
        <v>Produit</v>
      </c>
      <c r="F36" s="166" t="s">
        <v>139</v>
      </c>
      <c r="G36" s="19">
        <v>964815</v>
      </c>
      <c r="H36" s="166" t="s">
        <v>140</v>
      </c>
      <c r="I36" s="128">
        <v>195</v>
      </c>
      <c r="J36" s="171" t="s">
        <v>168</v>
      </c>
    </row>
    <row r="37" spans="1:11" ht="12.5" x14ac:dyDescent="0.35">
      <c r="A37" s="17">
        <v>28</v>
      </c>
      <c r="B37" s="18">
        <v>43109</v>
      </c>
      <c r="C37" s="126" t="str">
        <f>LOOKUP(B37,'HIDDEN DATA'!$A:$B,'HIDDEN DATA'!$C:$C)</f>
        <v>2017-2018</v>
      </c>
      <c r="D37" s="166" t="s">
        <v>174</v>
      </c>
      <c r="E37" s="127" t="str">
        <f>VLOOKUP(D37,'PLAN COMPTABLE'!$C:$D,2,0)</f>
        <v>Produit</v>
      </c>
      <c r="F37" s="166" t="s">
        <v>139</v>
      </c>
      <c r="G37" s="19">
        <v>964816</v>
      </c>
      <c r="H37" s="166" t="s">
        <v>140</v>
      </c>
      <c r="I37" s="128">
        <v>2404.5</v>
      </c>
      <c r="J37" s="171" t="s">
        <v>168</v>
      </c>
    </row>
    <row r="38" spans="1:11" s="184" customFormat="1" ht="12.5" x14ac:dyDescent="0.35">
      <c r="A38" s="176">
        <v>29</v>
      </c>
      <c r="B38" s="177">
        <v>43132</v>
      </c>
      <c r="C38" s="178" t="str">
        <f>LOOKUP(B38,'HIDDEN DATA'!$A:$B,'HIDDEN DATA'!$C:$C)</f>
        <v>2017-2018</v>
      </c>
      <c r="D38" s="179" t="s">
        <v>174</v>
      </c>
      <c r="E38" s="180" t="str">
        <f>VLOOKUP(D38,'PLAN COMPTABLE'!$C:$D,2,0)</f>
        <v>Produit</v>
      </c>
      <c r="F38" s="179" t="s">
        <v>139</v>
      </c>
      <c r="G38" s="175">
        <v>966606</v>
      </c>
      <c r="H38" s="179" t="s">
        <v>140</v>
      </c>
      <c r="I38" s="181">
        <v>1197</v>
      </c>
      <c r="J38" s="182" t="s">
        <v>168</v>
      </c>
      <c r="K38" s="183"/>
    </row>
    <row r="39" spans="1:11" ht="12.5" x14ac:dyDescent="0.35">
      <c r="A39" s="17">
        <v>30</v>
      </c>
      <c r="B39" s="18">
        <v>43132</v>
      </c>
      <c r="C39" s="126" t="str">
        <f>LOOKUP(B39,'HIDDEN DATA'!$A:$B,'HIDDEN DATA'!$C:$C)</f>
        <v>2017-2018</v>
      </c>
      <c r="D39" s="166" t="s">
        <v>170</v>
      </c>
      <c r="E39" s="127" t="str">
        <f>VLOOKUP(D39,'PLAN COMPTABLE'!$C:$D,2,0)</f>
        <v>Produit</v>
      </c>
      <c r="F39" s="166" t="s">
        <v>139</v>
      </c>
      <c r="G39" s="19">
        <v>966606</v>
      </c>
      <c r="H39" s="166" t="s">
        <v>140</v>
      </c>
      <c r="I39" s="128">
        <v>255</v>
      </c>
      <c r="J39" s="171" t="s">
        <v>168</v>
      </c>
    </row>
    <row r="40" spans="1:11" ht="12.5" x14ac:dyDescent="0.35">
      <c r="A40" s="17">
        <v>31</v>
      </c>
      <c r="B40" s="18">
        <v>43132</v>
      </c>
      <c r="C40" s="126" t="str">
        <f>LOOKUP(B40,'HIDDEN DATA'!$A:$B,'HIDDEN DATA'!$C:$C)</f>
        <v>2017-2018</v>
      </c>
      <c r="D40" s="166" t="s">
        <v>169</v>
      </c>
      <c r="E40" s="127" t="str">
        <f>VLOOKUP(D40,'PLAN COMPTABLE'!$C:$D,2,0)</f>
        <v>Produit</v>
      </c>
      <c r="F40" s="166" t="s">
        <v>139</v>
      </c>
      <c r="G40" s="19">
        <v>966606</v>
      </c>
      <c r="H40" s="166" t="s">
        <v>140</v>
      </c>
      <c r="I40" s="128">
        <v>1113</v>
      </c>
      <c r="J40" s="171" t="s">
        <v>168</v>
      </c>
    </row>
    <row r="41" spans="1:11" ht="12.5" x14ac:dyDescent="0.35">
      <c r="A41" s="17">
        <v>32</v>
      </c>
      <c r="B41" s="18">
        <v>43136</v>
      </c>
      <c r="C41" s="126" t="str">
        <f>LOOKUP(B41,'HIDDEN DATA'!$A:$B,'HIDDEN DATA'!$C:$C)</f>
        <v>2017-2018</v>
      </c>
      <c r="D41" s="166" t="s">
        <v>175</v>
      </c>
      <c r="E41" s="127" t="str">
        <f>VLOOKUP(D41,'PLAN COMPTABLE'!$C:$D,2,0)</f>
        <v>Charge</v>
      </c>
      <c r="F41" s="166" t="s">
        <v>139</v>
      </c>
      <c r="G41" s="19">
        <v>430</v>
      </c>
      <c r="H41" s="166" t="s">
        <v>140</v>
      </c>
      <c r="I41" s="128">
        <v>1600</v>
      </c>
      <c r="J41" s="171" t="s">
        <v>176</v>
      </c>
    </row>
    <row r="42" spans="1:11" ht="12.5" x14ac:dyDescent="0.35">
      <c r="A42" s="17">
        <v>33</v>
      </c>
      <c r="B42" s="18">
        <v>43145</v>
      </c>
      <c r="C42" s="126" t="str">
        <f>LOOKUP(B42,'HIDDEN DATA'!$A:$B,'HIDDEN DATA'!$C:$C)</f>
        <v>2017-2018</v>
      </c>
      <c r="D42" s="166" t="s">
        <v>143</v>
      </c>
      <c r="E42" s="127" t="str">
        <f>VLOOKUP(D42,'PLAN COMPTABLE'!$C:$D,2,0)</f>
        <v>Charge</v>
      </c>
      <c r="F42" s="166" t="s">
        <v>139</v>
      </c>
      <c r="G42" s="19">
        <v>431</v>
      </c>
      <c r="H42" s="166" t="s">
        <v>140</v>
      </c>
      <c r="I42" s="128">
        <v>59.66</v>
      </c>
      <c r="J42" s="171" t="s">
        <v>144</v>
      </c>
    </row>
    <row r="43" spans="1:11" ht="12.5" x14ac:dyDescent="0.35">
      <c r="A43" s="17">
        <v>34</v>
      </c>
      <c r="B43" s="18">
        <v>43145</v>
      </c>
      <c r="C43" s="126" t="str">
        <f>LOOKUP(B43,'HIDDEN DATA'!$A:$B,'HIDDEN DATA'!$C:$C)</f>
        <v>2017-2018</v>
      </c>
      <c r="D43" s="166" t="s">
        <v>177</v>
      </c>
      <c r="E43" s="127" t="str">
        <f>VLOOKUP(D43,'PLAN COMPTABLE'!$C:$D,2,0)</f>
        <v>Charge</v>
      </c>
      <c r="F43" s="166" t="s">
        <v>139</v>
      </c>
      <c r="G43" s="19">
        <v>432</v>
      </c>
      <c r="H43" s="166" t="s">
        <v>140</v>
      </c>
      <c r="I43" s="128">
        <v>58.64</v>
      </c>
      <c r="J43" s="171" t="s">
        <v>178</v>
      </c>
    </row>
    <row r="44" spans="1:11" ht="12.5" x14ac:dyDescent="0.35">
      <c r="A44" s="17">
        <v>35</v>
      </c>
      <c r="B44" s="18">
        <v>43135</v>
      </c>
      <c r="C44" s="126" t="str">
        <f>LOOKUP(B44,'HIDDEN DATA'!$A:$B,'HIDDEN DATA'!$C:$C)</f>
        <v>2017-2018</v>
      </c>
      <c r="D44" s="166" t="s">
        <v>148</v>
      </c>
      <c r="E44" s="127" t="e">
        <f>VLOOKUP(D44,'PLAN COMPTABLE'!$C:$D,2,0)</f>
        <v>#N/A</v>
      </c>
      <c r="F44" s="166" t="s">
        <v>139</v>
      </c>
      <c r="G44" s="19">
        <v>433</v>
      </c>
      <c r="H44" s="166" t="s">
        <v>140</v>
      </c>
      <c r="I44" s="128">
        <v>381.59</v>
      </c>
      <c r="J44" s="171" t="s">
        <v>179</v>
      </c>
    </row>
    <row r="45" spans="1:11" ht="12.5" x14ac:dyDescent="0.35">
      <c r="A45" s="17">
        <v>36</v>
      </c>
      <c r="B45" s="18">
        <v>43152</v>
      </c>
      <c r="C45" s="126" t="str">
        <f>LOOKUP(B45,'HIDDEN DATA'!$A:$B,'HIDDEN DATA'!$C:$C)</f>
        <v>2017-2018</v>
      </c>
      <c r="D45" s="166" t="s">
        <v>148</v>
      </c>
      <c r="E45" s="127" t="e">
        <f>VLOOKUP(D45,'PLAN COMPTABLE'!$C:$D,2,0)</f>
        <v>#N/A</v>
      </c>
      <c r="F45" s="166" t="s">
        <v>139</v>
      </c>
      <c r="G45" s="19">
        <v>434</v>
      </c>
      <c r="H45" s="166" t="s">
        <v>140</v>
      </c>
      <c r="I45" s="128">
        <v>226.85</v>
      </c>
      <c r="J45" s="171" t="s">
        <v>163</v>
      </c>
    </row>
    <row r="46" spans="1:11" ht="12.5" x14ac:dyDescent="0.35">
      <c r="A46" s="17">
        <v>37</v>
      </c>
      <c r="B46" s="18">
        <v>43152</v>
      </c>
      <c r="C46" s="126" t="str">
        <f>LOOKUP(B46,'HIDDEN DATA'!$A:$B,'HIDDEN DATA'!$C:$C)</f>
        <v>2017-2018</v>
      </c>
      <c r="D46" s="166" t="s">
        <v>85</v>
      </c>
      <c r="E46" s="127" t="str">
        <f>VLOOKUP(D46,'PLAN COMPTABLE'!$C:$D,2,0)</f>
        <v>Charge</v>
      </c>
      <c r="F46" s="166" t="s">
        <v>139</v>
      </c>
      <c r="G46" s="19">
        <v>435</v>
      </c>
      <c r="H46" s="166" t="s">
        <v>140</v>
      </c>
      <c r="I46" s="128">
        <v>333.51</v>
      </c>
      <c r="J46" s="171" t="s">
        <v>150</v>
      </c>
    </row>
    <row r="47" spans="1:11" ht="12.5" x14ac:dyDescent="0.35">
      <c r="A47" s="17">
        <v>38</v>
      </c>
      <c r="B47" s="18">
        <v>43152</v>
      </c>
      <c r="C47" s="126" t="str">
        <f>LOOKUP(B47,'HIDDEN DATA'!$A:$B,'HIDDEN DATA'!$C:$C)</f>
        <v>2017-2018</v>
      </c>
      <c r="D47" s="166" t="s">
        <v>156</v>
      </c>
      <c r="E47" s="127" t="str">
        <f>VLOOKUP(D47,'PLAN COMPTABLE'!$C:$D,2,0)</f>
        <v>Charge</v>
      </c>
      <c r="F47" s="166" t="s">
        <v>139</v>
      </c>
      <c r="G47" s="19">
        <v>436</v>
      </c>
      <c r="H47" s="166" t="s">
        <v>140</v>
      </c>
      <c r="I47" s="128">
        <v>86.06</v>
      </c>
      <c r="J47" s="171" t="s">
        <v>150</v>
      </c>
    </row>
    <row r="48" spans="1:11" ht="12.5" x14ac:dyDescent="0.35">
      <c r="A48" s="17">
        <v>39</v>
      </c>
      <c r="B48" s="18">
        <v>43152</v>
      </c>
      <c r="C48" s="126" t="str">
        <f>LOOKUP(B48,'HIDDEN DATA'!$A:$B,'HIDDEN DATA'!$C:$C)</f>
        <v>2017-2018</v>
      </c>
      <c r="D48" s="166" t="s">
        <v>146</v>
      </c>
      <c r="E48" s="127" t="str">
        <f>VLOOKUP(D48,'PLAN COMPTABLE'!$C:$D,2,0)</f>
        <v>Charge</v>
      </c>
      <c r="F48" s="166" t="s">
        <v>139</v>
      </c>
      <c r="G48" s="19">
        <v>437</v>
      </c>
      <c r="H48" s="166" t="s">
        <v>140</v>
      </c>
      <c r="I48" s="128">
        <v>12.99</v>
      </c>
      <c r="J48" s="171" t="s">
        <v>150</v>
      </c>
    </row>
    <row r="49" spans="1:10" ht="12.5" x14ac:dyDescent="0.35">
      <c r="A49" s="17">
        <v>40</v>
      </c>
      <c r="B49" s="18">
        <v>43152</v>
      </c>
      <c r="C49" s="126" t="str">
        <f>LOOKUP(B49,'HIDDEN DATA'!$A:$B,'HIDDEN DATA'!$C:$C)</f>
        <v>2017-2018</v>
      </c>
      <c r="D49" s="166" t="s">
        <v>143</v>
      </c>
      <c r="E49" s="127" t="str">
        <f>VLOOKUP(D49,'PLAN COMPTABLE'!$C:$D,2,0)</f>
        <v>Charge</v>
      </c>
      <c r="F49" s="166" t="s">
        <v>139</v>
      </c>
      <c r="G49" s="19">
        <v>438</v>
      </c>
      <c r="H49" s="166" t="s">
        <v>140</v>
      </c>
      <c r="I49" s="128">
        <v>10.63</v>
      </c>
      <c r="J49" s="171" t="s">
        <v>150</v>
      </c>
    </row>
    <row r="50" spans="1:10" ht="12.5" x14ac:dyDescent="0.35">
      <c r="A50" s="17">
        <v>41</v>
      </c>
      <c r="B50" s="18">
        <v>43173</v>
      </c>
      <c r="C50" s="126" t="str">
        <f>LOOKUP(B50,'HIDDEN DATA'!$A:$B,'HIDDEN DATA'!$C:$C)</f>
        <v>2017-2018</v>
      </c>
      <c r="D50" s="166" t="s">
        <v>180</v>
      </c>
      <c r="E50" s="127" t="str">
        <f>VLOOKUP(D50,'PLAN COMPTABLE'!$C:$D,2,0)</f>
        <v>Charge</v>
      </c>
      <c r="F50" s="166" t="s">
        <v>139</v>
      </c>
      <c r="G50" s="19">
        <v>439</v>
      </c>
      <c r="H50" s="166" t="s">
        <v>140</v>
      </c>
      <c r="I50" s="128">
        <v>351.9</v>
      </c>
      <c r="J50" s="171" t="s">
        <v>150</v>
      </c>
    </row>
    <row r="51" spans="1:10" ht="12.5" x14ac:dyDescent="0.35">
      <c r="A51" s="17">
        <v>42</v>
      </c>
      <c r="B51" s="18">
        <v>43180</v>
      </c>
      <c r="C51" s="126" t="str">
        <f>LOOKUP(B51,'HIDDEN DATA'!$A:$B,'HIDDEN DATA'!$C:$C)</f>
        <v>2017-2018</v>
      </c>
      <c r="D51" s="166" t="s">
        <v>177</v>
      </c>
      <c r="E51" s="127" t="str">
        <f>VLOOKUP(D51,'PLAN COMPTABLE'!$C:$D,2,0)</f>
        <v>Charge</v>
      </c>
      <c r="F51" s="166" t="s">
        <v>139</v>
      </c>
      <c r="G51" s="19">
        <v>440</v>
      </c>
      <c r="H51" s="166" t="s">
        <v>140</v>
      </c>
      <c r="I51" s="128">
        <v>72.41</v>
      </c>
      <c r="J51" s="171" t="s">
        <v>150</v>
      </c>
    </row>
    <row r="52" spans="1:10" ht="12.5" x14ac:dyDescent="0.35">
      <c r="A52" s="17">
        <v>43</v>
      </c>
      <c r="B52" s="18">
        <v>43173</v>
      </c>
      <c r="C52" s="126" t="str">
        <f>LOOKUP(B52,'HIDDEN DATA'!$A:$B,'HIDDEN DATA'!$C:$C)</f>
        <v>2017-2018</v>
      </c>
      <c r="D52" s="166" t="s">
        <v>148</v>
      </c>
      <c r="E52" s="127" t="e">
        <f>VLOOKUP(D52,'PLAN COMPTABLE'!$C:$D,2,0)</f>
        <v>#N/A</v>
      </c>
      <c r="F52" s="166" t="s">
        <v>139</v>
      </c>
      <c r="G52" s="19">
        <v>441</v>
      </c>
      <c r="H52" s="166" t="s">
        <v>140</v>
      </c>
      <c r="I52" s="128">
        <v>150</v>
      </c>
      <c r="J52" s="171" t="s">
        <v>181</v>
      </c>
    </row>
    <row r="53" spans="1:10" ht="12.5" x14ac:dyDescent="0.35">
      <c r="A53" s="17">
        <v>44</v>
      </c>
      <c r="B53" s="18">
        <v>43173</v>
      </c>
      <c r="C53" s="126" t="str">
        <f>LOOKUP(B53,'HIDDEN DATA'!$A:$B,'HIDDEN DATA'!$C:$C)</f>
        <v>2017-2018</v>
      </c>
      <c r="D53" s="166" t="s">
        <v>182</v>
      </c>
      <c r="E53" s="127" t="str">
        <f>VLOOKUP(D53,'PLAN COMPTABLE'!$C:$D,2,0)</f>
        <v>Charge</v>
      </c>
      <c r="F53" s="166" t="s">
        <v>139</v>
      </c>
      <c r="G53" s="19">
        <v>442</v>
      </c>
      <c r="H53" s="166" t="s">
        <v>140</v>
      </c>
      <c r="I53" s="128">
        <v>285.41000000000003</v>
      </c>
      <c r="J53" s="171" t="s">
        <v>181</v>
      </c>
    </row>
    <row r="54" spans="1:10" ht="12.5" x14ac:dyDescent="0.35">
      <c r="A54" s="17">
        <v>45</v>
      </c>
      <c r="B54" s="18">
        <v>43195</v>
      </c>
      <c r="C54" s="126" t="str">
        <f>LOOKUP(B54,'HIDDEN DATA'!$A:$B,'HIDDEN DATA'!$C:$C)</f>
        <v>2017-2018</v>
      </c>
      <c r="D54" s="166" t="s">
        <v>183</v>
      </c>
      <c r="E54" s="127" t="str">
        <f>VLOOKUP(D54,'PLAN COMPTABLE'!$C:$D,2,0)</f>
        <v>Charge</v>
      </c>
      <c r="F54" s="166" t="s">
        <v>139</v>
      </c>
      <c r="G54" s="19">
        <v>443</v>
      </c>
      <c r="H54" s="166" t="s">
        <v>140</v>
      </c>
      <c r="I54" s="128">
        <v>239.81</v>
      </c>
      <c r="J54" s="171" t="s">
        <v>150</v>
      </c>
    </row>
    <row r="55" spans="1:10" ht="12.5" x14ac:dyDescent="0.35">
      <c r="A55" s="17">
        <v>46</v>
      </c>
      <c r="B55" s="18">
        <v>43195</v>
      </c>
      <c r="C55" s="126" t="str">
        <f>LOOKUP(B55,'HIDDEN DATA'!$A:$B,'HIDDEN DATA'!$C:$C)</f>
        <v>2017-2018</v>
      </c>
      <c r="D55" s="166" t="s">
        <v>146</v>
      </c>
      <c r="E55" s="127" t="str">
        <f>VLOOKUP(D55,'PLAN COMPTABLE'!$C:$D,2,0)</f>
        <v>Charge</v>
      </c>
      <c r="F55" s="166" t="s">
        <v>139</v>
      </c>
      <c r="G55" s="19">
        <v>444</v>
      </c>
      <c r="H55" s="166" t="s">
        <v>140</v>
      </c>
      <c r="I55" s="128">
        <v>15.99</v>
      </c>
      <c r="J55" s="171" t="s">
        <v>150</v>
      </c>
    </row>
    <row r="56" spans="1:10" ht="12.5" x14ac:dyDescent="0.35">
      <c r="A56" s="17">
        <v>47</v>
      </c>
      <c r="B56" s="18">
        <v>43195</v>
      </c>
      <c r="C56" s="126" t="str">
        <f>LOOKUP(B56,'HIDDEN DATA'!$A:$B,'HIDDEN DATA'!$C:$C)</f>
        <v>2017-2018</v>
      </c>
      <c r="D56" s="166" t="s">
        <v>183</v>
      </c>
      <c r="E56" s="127" t="str">
        <f>VLOOKUP(D56,'PLAN COMPTABLE'!$C:$D,2,0)</f>
        <v>Charge</v>
      </c>
      <c r="F56" s="166" t="s">
        <v>139</v>
      </c>
      <c r="G56" s="19">
        <v>445</v>
      </c>
      <c r="H56" s="166" t="s">
        <v>140</v>
      </c>
      <c r="I56" s="128">
        <v>283.33</v>
      </c>
      <c r="J56" s="171" t="s">
        <v>184</v>
      </c>
    </row>
    <row r="57" spans="1:10" ht="12.5" x14ac:dyDescent="0.35">
      <c r="A57" s="17">
        <v>48</v>
      </c>
      <c r="B57" s="18">
        <v>43195</v>
      </c>
      <c r="C57" s="126" t="str">
        <f>LOOKUP(B57,'HIDDEN DATA'!$A:$B,'HIDDEN DATA'!$C:$C)</f>
        <v>2017-2018</v>
      </c>
      <c r="D57" s="166" t="s">
        <v>185</v>
      </c>
      <c r="E57" s="127" t="str">
        <f>VLOOKUP(D57,'PLAN COMPTABLE'!$C:$D,2,0)</f>
        <v>Charge</v>
      </c>
      <c r="F57" s="166" t="s">
        <v>139</v>
      </c>
      <c r="G57" s="19">
        <v>446</v>
      </c>
      <c r="H57" s="166" t="s">
        <v>140</v>
      </c>
      <c r="I57" s="128">
        <v>300</v>
      </c>
      <c r="J57" s="171" t="s">
        <v>186</v>
      </c>
    </row>
    <row r="58" spans="1:10" ht="12.5" x14ac:dyDescent="0.35">
      <c r="A58" s="17">
        <v>49</v>
      </c>
      <c r="B58" s="18">
        <v>43195</v>
      </c>
      <c r="C58" s="126" t="str">
        <f>LOOKUP(B58,'HIDDEN DATA'!$A:$B,'HIDDEN DATA'!$C:$C)</f>
        <v>2017-2018</v>
      </c>
      <c r="D58" s="166" t="s">
        <v>183</v>
      </c>
      <c r="E58" s="127" t="str">
        <f>VLOOKUP(D58,'PLAN COMPTABLE'!$C:$D,2,0)</f>
        <v>Charge</v>
      </c>
      <c r="F58" s="166" t="s">
        <v>139</v>
      </c>
      <c r="G58" s="19">
        <v>447</v>
      </c>
      <c r="H58" s="166" t="s">
        <v>140</v>
      </c>
      <c r="I58" s="128">
        <v>17.399999999999999</v>
      </c>
      <c r="J58" s="171" t="s">
        <v>187</v>
      </c>
    </row>
    <row r="59" spans="1:10" ht="12.5" x14ac:dyDescent="0.35">
      <c r="A59" s="17">
        <v>50</v>
      </c>
      <c r="B59" s="18">
        <v>43202</v>
      </c>
      <c r="C59" s="126" t="str">
        <f>LOOKUP(B59,'HIDDEN DATA'!$A:$B,'HIDDEN DATA'!$C:$C)</f>
        <v>2017-2018</v>
      </c>
      <c r="D59" s="166" t="s">
        <v>148</v>
      </c>
      <c r="E59" s="127" t="e">
        <f>VLOOKUP(D59,'PLAN COMPTABLE'!$C:$D,2,0)</f>
        <v>#N/A</v>
      </c>
      <c r="F59" s="166" t="s">
        <v>139</v>
      </c>
      <c r="G59" s="19">
        <v>449</v>
      </c>
      <c r="H59" s="166" t="s">
        <v>140</v>
      </c>
      <c r="I59" s="128">
        <v>67.5</v>
      </c>
      <c r="J59" s="171" t="s">
        <v>163</v>
      </c>
    </row>
    <row r="60" spans="1:10" ht="12.5" x14ac:dyDescent="0.35">
      <c r="A60" s="17">
        <v>51</v>
      </c>
      <c r="B60" s="18">
        <v>43209</v>
      </c>
      <c r="C60" s="126" t="str">
        <f>LOOKUP(B60,'HIDDEN DATA'!$A:$B,'HIDDEN DATA'!$C:$C)</f>
        <v>2017-2018</v>
      </c>
      <c r="D60" s="166" t="s">
        <v>143</v>
      </c>
      <c r="E60" s="127" t="str">
        <f>VLOOKUP(D60,'PLAN COMPTABLE'!$C:$D,2,0)</f>
        <v>Charge</v>
      </c>
      <c r="F60" s="166" t="s">
        <v>139</v>
      </c>
      <c r="G60" s="19">
        <v>450</v>
      </c>
      <c r="H60" s="166" t="s">
        <v>140</v>
      </c>
      <c r="I60" s="128">
        <v>113.51</v>
      </c>
      <c r="J60" s="171" t="s">
        <v>161</v>
      </c>
    </row>
    <row r="61" spans="1:10" ht="12.5" x14ac:dyDescent="0.35">
      <c r="A61" s="17">
        <v>52</v>
      </c>
      <c r="B61" s="18">
        <v>43209</v>
      </c>
      <c r="C61" s="126" t="str">
        <f>LOOKUP(B61,'HIDDEN DATA'!$A:$B,'HIDDEN DATA'!$C:$C)</f>
        <v>2017-2018</v>
      </c>
      <c r="D61" s="166" t="s">
        <v>143</v>
      </c>
      <c r="E61" s="127" t="str">
        <f>VLOOKUP(D61,'PLAN COMPTABLE'!$C:$D,2,0)</f>
        <v>Charge</v>
      </c>
      <c r="F61" s="166" t="s">
        <v>139</v>
      </c>
      <c r="G61" s="19">
        <v>451</v>
      </c>
      <c r="H61" s="166" t="s">
        <v>140</v>
      </c>
      <c r="I61" s="128">
        <v>29</v>
      </c>
      <c r="J61" s="171" t="s">
        <v>144</v>
      </c>
    </row>
    <row r="62" spans="1:10" ht="12.5" x14ac:dyDescent="0.35">
      <c r="A62" s="17">
        <v>53</v>
      </c>
      <c r="B62" s="18">
        <v>43209</v>
      </c>
      <c r="C62" s="126" t="str">
        <f>LOOKUP(B62,'HIDDEN DATA'!$A:$B,'HIDDEN DATA'!$C:$C)</f>
        <v>2017-2018</v>
      </c>
      <c r="D62" s="166" t="s">
        <v>185</v>
      </c>
      <c r="E62" s="127" t="str">
        <f>VLOOKUP(D62,'PLAN COMPTABLE'!$C:$D,2,0)</f>
        <v>Charge</v>
      </c>
      <c r="F62" s="166" t="s">
        <v>139</v>
      </c>
      <c r="G62" s="19">
        <v>452</v>
      </c>
      <c r="H62" s="166" t="s">
        <v>140</v>
      </c>
      <c r="I62" s="128">
        <v>175</v>
      </c>
      <c r="J62" s="171" t="s">
        <v>188</v>
      </c>
    </row>
    <row r="63" spans="1:10" ht="12.5" x14ac:dyDescent="0.35">
      <c r="A63" s="17">
        <v>54</v>
      </c>
      <c r="B63" s="18">
        <v>43216</v>
      </c>
      <c r="C63" s="126" t="str">
        <f>LOOKUP(B63,'HIDDEN DATA'!$A:$B,'HIDDEN DATA'!$C:$C)</f>
        <v>2017-2018</v>
      </c>
      <c r="D63" s="166" t="s">
        <v>182</v>
      </c>
      <c r="E63" s="127" t="str">
        <f>VLOOKUP(D63,'PLAN COMPTABLE'!$C:$D,2,0)</f>
        <v>Charge</v>
      </c>
      <c r="F63" s="166" t="s">
        <v>139</v>
      </c>
      <c r="G63" s="19">
        <v>453</v>
      </c>
      <c r="H63" s="166" t="s">
        <v>140</v>
      </c>
      <c r="I63" s="128">
        <v>100</v>
      </c>
      <c r="J63" s="171" t="s">
        <v>189</v>
      </c>
    </row>
    <row r="64" spans="1:10" ht="12.5" x14ac:dyDescent="0.35">
      <c r="A64" s="17">
        <v>55</v>
      </c>
      <c r="B64" s="18">
        <v>43216</v>
      </c>
      <c r="C64" s="126" t="str">
        <f>LOOKUP(B64,'HIDDEN DATA'!$A:$B,'HIDDEN DATA'!$C:$C)</f>
        <v>2017-2018</v>
      </c>
      <c r="D64" s="166" t="s">
        <v>182</v>
      </c>
      <c r="E64" s="127" t="str">
        <f>VLOOKUP(D64,'PLAN COMPTABLE'!$C:$D,2,0)</f>
        <v>Charge</v>
      </c>
      <c r="F64" s="166" t="s">
        <v>139</v>
      </c>
      <c r="G64" s="19">
        <v>454</v>
      </c>
      <c r="H64" s="166" t="s">
        <v>140</v>
      </c>
      <c r="I64" s="128">
        <v>100</v>
      </c>
      <c r="J64" s="171" t="s">
        <v>190</v>
      </c>
    </row>
    <row r="65" spans="1:10" ht="12.5" x14ac:dyDescent="0.35">
      <c r="A65" s="17">
        <v>56</v>
      </c>
      <c r="B65" s="18">
        <v>43223</v>
      </c>
      <c r="C65" s="126" t="str">
        <f>LOOKUP(B65,'HIDDEN DATA'!$A:$B,'HIDDEN DATA'!$C:$C)</f>
        <v>2017-2018</v>
      </c>
      <c r="D65" s="166" t="s">
        <v>85</v>
      </c>
      <c r="E65" s="127" t="str">
        <f>VLOOKUP(D65,'PLAN COMPTABLE'!$C:$D,2,0)</f>
        <v>Charge</v>
      </c>
      <c r="F65" s="166" t="s">
        <v>139</v>
      </c>
      <c r="G65" s="19">
        <v>455</v>
      </c>
      <c r="H65" s="166" t="s">
        <v>140</v>
      </c>
      <c r="I65" s="128">
        <v>115.18</v>
      </c>
      <c r="J65" s="171" t="s">
        <v>150</v>
      </c>
    </row>
    <row r="66" spans="1:10" ht="12.5" x14ac:dyDescent="0.35">
      <c r="A66" s="17">
        <v>57</v>
      </c>
      <c r="B66" s="18">
        <v>43223</v>
      </c>
      <c r="C66" s="126" t="str">
        <f>LOOKUP(B66,'HIDDEN DATA'!$A:$B,'HIDDEN DATA'!$C:$C)</f>
        <v>2017-2018</v>
      </c>
      <c r="D66" s="166" t="s">
        <v>191</v>
      </c>
      <c r="E66" s="127" t="str">
        <f>VLOOKUP(D66,'PLAN COMPTABLE'!$C:$D,2,0)</f>
        <v>Charge</v>
      </c>
      <c r="F66" s="166" t="s">
        <v>139</v>
      </c>
      <c r="G66" s="19">
        <v>456</v>
      </c>
      <c r="H66" s="166" t="s">
        <v>140</v>
      </c>
      <c r="I66" s="128">
        <v>351.9</v>
      </c>
      <c r="J66" s="171" t="s">
        <v>150</v>
      </c>
    </row>
    <row r="67" spans="1:10" ht="12.5" x14ac:dyDescent="0.35">
      <c r="A67" s="17">
        <v>58</v>
      </c>
      <c r="B67" s="18">
        <v>43223</v>
      </c>
      <c r="C67" s="126" t="str">
        <f>LOOKUP(B67,'HIDDEN DATA'!$A:$B,'HIDDEN DATA'!$C:$C)</f>
        <v>2017-2018</v>
      </c>
      <c r="D67" s="166" t="s">
        <v>157</v>
      </c>
      <c r="E67" s="127" t="str">
        <f>VLOOKUP(D67,'PLAN COMPTABLE'!$C:$D,2,0)</f>
        <v>Charge</v>
      </c>
      <c r="F67" s="166" t="s">
        <v>139</v>
      </c>
      <c r="G67" s="19">
        <v>457</v>
      </c>
      <c r="H67" s="166" t="s">
        <v>140</v>
      </c>
      <c r="I67" s="128">
        <v>784.16</v>
      </c>
      <c r="J67" s="171" t="s">
        <v>158</v>
      </c>
    </row>
    <row r="68" spans="1:10" ht="12.5" x14ac:dyDescent="0.35">
      <c r="A68" s="17">
        <v>59</v>
      </c>
      <c r="B68" s="18">
        <v>43115</v>
      </c>
      <c r="C68" s="126" t="str">
        <f>LOOKUP(B68,'HIDDEN DATA'!$A:$B,'HIDDEN DATA'!$C:$C)</f>
        <v>2017-2018</v>
      </c>
      <c r="D68" s="166" t="s">
        <v>182</v>
      </c>
      <c r="E68" s="127" t="str">
        <f>VLOOKUP(D68,'PLAN COMPTABLE'!$C:$D,2,0)</f>
        <v>Charge</v>
      </c>
      <c r="F68" s="166" t="s">
        <v>139</v>
      </c>
      <c r="G68" s="19">
        <v>460</v>
      </c>
      <c r="H68" s="166" t="s">
        <v>140</v>
      </c>
      <c r="I68" s="128">
        <v>30.41</v>
      </c>
      <c r="J68" s="171" t="s">
        <v>192</v>
      </c>
    </row>
    <row r="69" spans="1:10" ht="12.5" x14ac:dyDescent="0.35">
      <c r="A69" s="17">
        <v>60</v>
      </c>
      <c r="B69" s="18">
        <v>43231</v>
      </c>
      <c r="C69" s="126" t="str">
        <f>LOOKUP(B69,'HIDDEN DATA'!$A:$B,'HIDDEN DATA'!$C:$C)</f>
        <v>2017-2018</v>
      </c>
      <c r="D69" s="166" t="s">
        <v>151</v>
      </c>
      <c r="E69" s="127" t="str">
        <f>VLOOKUP(D69,'PLAN COMPTABLE'!$C:$D,2,0)</f>
        <v>Charge</v>
      </c>
      <c r="F69" s="166" t="s">
        <v>139</v>
      </c>
      <c r="G69" s="19">
        <v>461</v>
      </c>
      <c r="H69" s="166" t="s">
        <v>140</v>
      </c>
      <c r="I69" s="128">
        <v>5</v>
      </c>
      <c r="J69" s="171" t="s">
        <v>193</v>
      </c>
    </row>
    <row r="70" spans="1:10" ht="12.5" x14ac:dyDescent="0.35">
      <c r="A70" s="17">
        <v>61</v>
      </c>
      <c r="B70" s="18">
        <v>43231</v>
      </c>
      <c r="C70" s="126" t="str">
        <f>LOOKUP(B70,'HIDDEN DATA'!$A:$B,'HIDDEN DATA'!$C:$C)</f>
        <v>2017-2018</v>
      </c>
      <c r="D70" s="166" t="s">
        <v>194</v>
      </c>
      <c r="E70" s="127" t="str">
        <f>VLOOKUP(D70,'PLAN COMPTABLE'!$C:$D,2,0)</f>
        <v>Charge</v>
      </c>
      <c r="F70" s="166" t="s">
        <v>139</v>
      </c>
      <c r="G70" s="19">
        <v>463</v>
      </c>
      <c r="H70" s="166" t="s">
        <v>140</v>
      </c>
      <c r="I70" s="128">
        <v>435</v>
      </c>
      <c r="J70" s="171" t="s">
        <v>22</v>
      </c>
    </row>
    <row r="71" spans="1:10" ht="12.5" x14ac:dyDescent="0.35">
      <c r="A71" s="17">
        <v>62</v>
      </c>
      <c r="B71" s="18">
        <v>43231</v>
      </c>
      <c r="C71" s="126" t="str">
        <f>LOOKUP(B71,'HIDDEN DATA'!$A:$B,'HIDDEN DATA'!$C:$C)</f>
        <v>2017-2018</v>
      </c>
      <c r="D71" s="166" t="s">
        <v>194</v>
      </c>
      <c r="E71" s="127" t="str">
        <f>VLOOKUP(D71,'PLAN COMPTABLE'!$C:$D,2,0)</f>
        <v>Charge</v>
      </c>
      <c r="F71" s="166" t="s">
        <v>139</v>
      </c>
      <c r="G71" s="19">
        <v>464</v>
      </c>
      <c r="H71" s="166" t="s">
        <v>140</v>
      </c>
      <c r="I71" s="128">
        <v>343.5</v>
      </c>
      <c r="J71" s="171" t="s">
        <v>22</v>
      </c>
    </row>
    <row r="72" spans="1:10" ht="12.5" x14ac:dyDescent="0.35">
      <c r="A72" s="17">
        <v>63</v>
      </c>
      <c r="B72" s="18">
        <v>43231</v>
      </c>
      <c r="C72" s="126" t="str">
        <f>LOOKUP(B72,'HIDDEN DATA'!$A:$B,'HIDDEN DATA'!$C:$C)</f>
        <v>2017-2018</v>
      </c>
      <c r="D72" s="166" t="s">
        <v>195</v>
      </c>
      <c r="E72" s="127" t="str">
        <f>VLOOKUP(D72,'PLAN COMPTABLE'!$C:$D,2,0)</f>
        <v>Charge</v>
      </c>
      <c r="F72" s="166" t="s">
        <v>139</v>
      </c>
      <c r="G72" s="19">
        <v>465</v>
      </c>
      <c r="H72" s="166" t="s">
        <v>140</v>
      </c>
      <c r="I72" s="128">
        <v>189</v>
      </c>
      <c r="J72" s="171" t="s">
        <v>22</v>
      </c>
    </row>
    <row r="73" spans="1:10" ht="12.5" x14ac:dyDescent="0.35">
      <c r="A73" s="17">
        <v>64</v>
      </c>
      <c r="B73" s="18">
        <v>43231</v>
      </c>
      <c r="C73" s="126" t="str">
        <f>LOOKUP(B73,'HIDDEN DATA'!$A:$B,'HIDDEN DATA'!$C:$C)</f>
        <v>2017-2018</v>
      </c>
      <c r="D73" s="166" t="s">
        <v>196</v>
      </c>
      <c r="E73" s="127" t="str">
        <f>VLOOKUP(D73,'PLAN COMPTABLE'!$C:$D,2,0)</f>
        <v>Charge</v>
      </c>
      <c r="F73" s="166" t="s">
        <v>139</v>
      </c>
      <c r="G73" s="19">
        <v>466</v>
      </c>
      <c r="H73" s="166" t="s">
        <v>140</v>
      </c>
      <c r="I73" s="128">
        <v>157.5</v>
      </c>
      <c r="J73" s="171" t="s">
        <v>22</v>
      </c>
    </row>
    <row r="74" spans="1:10" ht="12.5" x14ac:dyDescent="0.35">
      <c r="A74" s="17">
        <v>65</v>
      </c>
      <c r="B74" s="18">
        <v>43249</v>
      </c>
      <c r="C74" s="126" t="str">
        <f>LOOKUP(B74,'HIDDEN DATA'!$A:$B,'HIDDEN DATA'!$C:$C)</f>
        <v>2017-2018</v>
      </c>
      <c r="D74" s="166" t="s">
        <v>197</v>
      </c>
      <c r="E74" s="127" t="str">
        <f>VLOOKUP(D74,'PLAN COMPTABLE'!$C:$D,2,0)</f>
        <v>Charge</v>
      </c>
      <c r="F74" s="166" t="s">
        <v>139</v>
      </c>
      <c r="G74" s="19">
        <v>467</v>
      </c>
      <c r="H74" s="166" t="s">
        <v>140</v>
      </c>
      <c r="I74" s="128">
        <v>3.54</v>
      </c>
      <c r="J74" s="171" t="s">
        <v>198</v>
      </c>
    </row>
    <row r="75" spans="1:10" ht="12.5" x14ac:dyDescent="0.35">
      <c r="A75" s="17">
        <v>66</v>
      </c>
      <c r="B75" s="18">
        <v>43249</v>
      </c>
      <c r="C75" s="126" t="str">
        <f>LOOKUP(B75,'HIDDEN DATA'!$A:$B,'HIDDEN DATA'!$C:$C)</f>
        <v>2017-2018</v>
      </c>
      <c r="D75" s="166" t="s">
        <v>182</v>
      </c>
      <c r="E75" s="127" t="str">
        <f>VLOOKUP(D75,'PLAN COMPTABLE'!$C:$D,2,0)</f>
        <v>Charge</v>
      </c>
      <c r="F75" s="166" t="s">
        <v>139</v>
      </c>
      <c r="G75" s="19">
        <v>468</v>
      </c>
      <c r="H75" s="166" t="s">
        <v>140</v>
      </c>
      <c r="I75" s="128">
        <v>250</v>
      </c>
      <c r="J75" s="171" t="s">
        <v>199</v>
      </c>
    </row>
    <row r="76" spans="1:10" ht="12.5" x14ac:dyDescent="0.35">
      <c r="A76" s="17">
        <v>67</v>
      </c>
      <c r="B76" s="18">
        <v>43256</v>
      </c>
      <c r="C76" s="126" t="str">
        <f>LOOKUP(B76,'HIDDEN DATA'!$A:$B,'HIDDEN DATA'!$C:$C)</f>
        <v>2017-2018</v>
      </c>
      <c r="D76" s="166" t="s">
        <v>154</v>
      </c>
      <c r="E76" s="127" t="str">
        <f>VLOOKUP(D76,'PLAN COMPTABLE'!$C:$D,2,0)</f>
        <v>Charge</v>
      </c>
      <c r="F76" s="166" t="s">
        <v>139</v>
      </c>
      <c r="G76" s="19">
        <v>469</v>
      </c>
      <c r="H76" s="166" t="s">
        <v>140</v>
      </c>
      <c r="I76" s="128">
        <v>300</v>
      </c>
      <c r="J76" s="171" t="s">
        <v>200</v>
      </c>
    </row>
    <row r="77" spans="1:10" ht="12.5" x14ac:dyDescent="0.35">
      <c r="A77" s="17">
        <v>68</v>
      </c>
      <c r="B77" s="18">
        <v>43321</v>
      </c>
      <c r="C77" s="126" t="str">
        <f>LOOKUP(B77,'HIDDEN DATA'!$A:$B,'HIDDEN DATA'!$C:$C)</f>
        <v>2017-2018</v>
      </c>
      <c r="D77" s="166" t="s">
        <v>201</v>
      </c>
      <c r="E77" s="127" t="e">
        <f>VLOOKUP(D77,'PLAN COMPTABLE'!$C:$D,2,0)</f>
        <v>#N/A</v>
      </c>
      <c r="F77" s="166" t="s">
        <v>139</v>
      </c>
      <c r="G77" s="19">
        <v>470</v>
      </c>
      <c r="H77" s="166" t="s">
        <v>140</v>
      </c>
      <c r="I77" s="128">
        <v>300</v>
      </c>
      <c r="J77" s="171" t="s">
        <v>202</v>
      </c>
    </row>
    <row r="78" spans="1:10" ht="12.5" x14ac:dyDescent="0.35">
      <c r="A78" s="17">
        <v>69</v>
      </c>
      <c r="B78" s="18">
        <v>43321</v>
      </c>
      <c r="C78" s="126" t="str">
        <f>LOOKUP(B78,'HIDDEN DATA'!$A:$B,'HIDDEN DATA'!$C:$C)</f>
        <v>2017-2018</v>
      </c>
      <c r="D78" s="166" t="s">
        <v>146</v>
      </c>
      <c r="E78" s="127" t="str">
        <f>VLOOKUP(D78,'PLAN COMPTABLE'!$C:$D,2,0)</f>
        <v>Charge</v>
      </c>
      <c r="F78" s="166" t="s">
        <v>139</v>
      </c>
      <c r="G78" s="19">
        <v>471</v>
      </c>
      <c r="H78" s="166" t="s">
        <v>140</v>
      </c>
      <c r="I78" s="128">
        <v>23.26</v>
      </c>
      <c r="J78" s="171" t="s">
        <v>203</v>
      </c>
    </row>
    <row r="79" spans="1:10" ht="12.5" x14ac:dyDescent="0.35">
      <c r="A79" s="17">
        <v>70</v>
      </c>
      <c r="B79" s="18">
        <v>43343</v>
      </c>
      <c r="C79" s="126" t="str">
        <f>LOOKUP(B79,'HIDDEN DATA'!$A:$B,'HIDDEN DATA'!$C:$C)</f>
        <v>2017-2018</v>
      </c>
      <c r="D79" s="166" t="s">
        <v>204</v>
      </c>
      <c r="E79" s="127" t="str">
        <f>VLOOKUP(D79,'PLAN COMPTABLE'!$C:$D,2,0)</f>
        <v>Charge</v>
      </c>
      <c r="F79" s="166" t="s">
        <v>139</v>
      </c>
      <c r="G79" s="175">
        <v>472</v>
      </c>
      <c r="H79" s="166" t="s">
        <v>140</v>
      </c>
      <c r="I79" s="128">
        <v>236.09</v>
      </c>
      <c r="J79" s="171" t="s">
        <v>150</v>
      </c>
    </row>
    <row r="80" spans="1:10" ht="12.5" x14ac:dyDescent="0.35">
      <c r="A80" s="17">
        <v>71</v>
      </c>
      <c r="B80" s="18">
        <v>43343</v>
      </c>
      <c r="C80" s="126" t="str">
        <f>LOOKUP(B80,'HIDDEN DATA'!$A:$B,'HIDDEN DATA'!$C:$C)</f>
        <v>2017-2018</v>
      </c>
      <c r="D80" s="166" t="s">
        <v>204</v>
      </c>
      <c r="E80" s="127" t="str">
        <f>VLOOKUP(D80,'PLAN COMPTABLE'!$C:$D,2,0)</f>
        <v>Charge</v>
      </c>
      <c r="F80" s="166" t="s">
        <v>139</v>
      </c>
      <c r="G80" s="175">
        <v>473</v>
      </c>
      <c r="H80" s="166" t="s">
        <v>140</v>
      </c>
      <c r="I80" s="128">
        <v>51.74</v>
      </c>
      <c r="J80" s="171" t="s">
        <v>150</v>
      </c>
    </row>
    <row r="81" spans="1:10" ht="12.5" x14ac:dyDescent="0.35">
      <c r="A81" s="17">
        <v>72</v>
      </c>
      <c r="B81" s="18">
        <v>43343</v>
      </c>
      <c r="C81" s="126" t="str">
        <f>LOOKUP(B81,'HIDDEN DATA'!$A:$B,'HIDDEN DATA'!$C:$C)</f>
        <v>2017-2018</v>
      </c>
      <c r="D81" s="166" t="s">
        <v>204</v>
      </c>
      <c r="E81" s="127" t="str">
        <f>VLOOKUP(D81,'PLAN COMPTABLE'!$C:$D,2,0)</f>
        <v>Charge</v>
      </c>
      <c r="F81" s="166" t="s">
        <v>139</v>
      </c>
      <c r="G81" s="19">
        <v>474</v>
      </c>
      <c r="H81" s="166" t="s">
        <v>140</v>
      </c>
      <c r="I81" s="128">
        <v>420.14</v>
      </c>
      <c r="J81" s="171" t="s">
        <v>144</v>
      </c>
    </row>
    <row r="82" spans="1:10" ht="12.5" x14ac:dyDescent="0.35">
      <c r="A82" s="17">
        <v>73</v>
      </c>
      <c r="B82" s="18">
        <v>43343</v>
      </c>
      <c r="C82" s="126" t="str">
        <f>LOOKUP(B82,'HIDDEN DATA'!$A:$B,'HIDDEN DATA'!$C:$C)</f>
        <v>2017-2018</v>
      </c>
      <c r="D82" s="166" t="s">
        <v>204</v>
      </c>
      <c r="E82" s="127" t="str">
        <f>VLOOKUP(D82,'PLAN COMPTABLE'!$C:$D,2,0)</f>
        <v>Charge</v>
      </c>
      <c r="F82" s="166" t="s">
        <v>139</v>
      </c>
      <c r="G82" s="19">
        <v>475</v>
      </c>
      <c r="H82" s="166" t="s">
        <v>140</v>
      </c>
      <c r="I82" s="128">
        <v>78.91</v>
      </c>
      <c r="J82" s="171" t="s">
        <v>179</v>
      </c>
    </row>
    <row r="83" spans="1:10" ht="12.5" x14ac:dyDescent="0.35">
      <c r="A83" s="17">
        <v>74</v>
      </c>
      <c r="B83" s="18">
        <v>43231</v>
      </c>
      <c r="C83" s="126" t="str">
        <f>LOOKUP(B83,'HIDDEN DATA'!$A:$B,'HIDDEN DATA'!$C:$C)</f>
        <v>2017-2018</v>
      </c>
      <c r="D83" s="166" t="s">
        <v>194</v>
      </c>
      <c r="E83" s="127" t="str">
        <f>VLOOKUP(D83,'PLAN COMPTABLE'!$C:$D,2,0)</f>
        <v>Charge</v>
      </c>
      <c r="F83" s="166" t="s">
        <v>139</v>
      </c>
      <c r="G83" s="19">
        <v>458</v>
      </c>
      <c r="H83" s="166" t="s">
        <v>140</v>
      </c>
      <c r="I83" s="128">
        <v>532.5</v>
      </c>
      <c r="J83" s="171" t="s">
        <v>205</v>
      </c>
    </row>
    <row r="84" spans="1:10" ht="12.5" x14ac:dyDescent="0.35">
      <c r="A84" s="17">
        <v>75</v>
      </c>
      <c r="B84" s="18">
        <v>43231</v>
      </c>
      <c r="C84" s="126" t="str">
        <f>LOOKUP(B84,'HIDDEN DATA'!$A:$B,'HIDDEN DATA'!$C:$C)</f>
        <v>2017-2018</v>
      </c>
      <c r="D84" s="166" t="s">
        <v>194</v>
      </c>
      <c r="E84" s="127" t="str">
        <f>VLOOKUP(D84,'PLAN COMPTABLE'!$C:$D,2,0)</f>
        <v>Charge</v>
      </c>
      <c r="F84" s="166" t="s">
        <v>139</v>
      </c>
      <c r="G84" s="19">
        <v>459</v>
      </c>
      <c r="H84" s="166" t="s">
        <v>140</v>
      </c>
      <c r="I84" s="128">
        <v>510</v>
      </c>
      <c r="J84" s="171" t="s">
        <v>206</v>
      </c>
    </row>
    <row r="85" spans="1:10" ht="12.5" x14ac:dyDescent="0.35">
      <c r="A85" s="17">
        <v>76</v>
      </c>
      <c r="B85" s="18">
        <v>43343</v>
      </c>
      <c r="C85" s="126" t="str">
        <f>LOOKUP(B85,'HIDDEN DATA'!$A:$B,'HIDDEN DATA'!$C:$C)</f>
        <v>2017-2018</v>
      </c>
      <c r="D85" s="166" t="s">
        <v>85</v>
      </c>
      <c r="E85" s="127" t="str">
        <f>VLOOKUP(D85,'PLAN COMPTABLE'!$C:$D,2,0)</f>
        <v>Charge</v>
      </c>
      <c r="F85" s="166" t="s">
        <v>139</v>
      </c>
      <c r="G85" s="19">
        <v>476</v>
      </c>
      <c r="H85" s="166" t="s">
        <v>140</v>
      </c>
      <c r="I85" s="128">
        <v>396.62</v>
      </c>
      <c r="J85" s="171" t="s">
        <v>184</v>
      </c>
    </row>
    <row r="86" spans="1:10" ht="12.5" x14ac:dyDescent="0.35">
      <c r="A86" s="17">
        <v>77</v>
      </c>
      <c r="B86" s="18">
        <v>43343</v>
      </c>
      <c r="C86" s="126" t="str">
        <f>LOOKUP(B86,'HIDDEN DATA'!$A:$B,'HIDDEN DATA'!$C:$C)</f>
        <v>2017-2018</v>
      </c>
      <c r="D86" s="166" t="s">
        <v>195</v>
      </c>
      <c r="E86" s="127" t="str">
        <f>VLOOKUP(D86,'PLAN COMPTABLE'!$C:$D,2,0)</f>
        <v>Charge</v>
      </c>
      <c r="F86" s="166" t="s">
        <v>139</v>
      </c>
      <c r="G86" s="19">
        <v>477</v>
      </c>
      <c r="H86" s="166" t="s">
        <v>140</v>
      </c>
      <c r="I86" s="128">
        <v>40.450000000000003</v>
      </c>
      <c r="J86" s="171" t="s">
        <v>161</v>
      </c>
    </row>
    <row r="87" spans="1:10" ht="12.5" x14ac:dyDescent="0.35">
      <c r="A87" s="17">
        <v>78</v>
      </c>
      <c r="B87" s="18">
        <v>43343</v>
      </c>
      <c r="C87" s="126" t="str">
        <f>LOOKUP(B87,'HIDDEN DATA'!$A:$B,'HIDDEN DATA'!$C:$C)</f>
        <v>2017-2018</v>
      </c>
      <c r="D87" s="166" t="s">
        <v>177</v>
      </c>
      <c r="E87" s="127" t="str">
        <f>VLOOKUP(D87,'PLAN COMPTABLE'!$C:$D,2,0)</f>
        <v>Charge</v>
      </c>
      <c r="F87" s="166" t="s">
        <v>139</v>
      </c>
      <c r="G87" s="19">
        <v>478</v>
      </c>
      <c r="H87" s="166" t="s">
        <v>140</v>
      </c>
      <c r="I87" s="128">
        <v>12.95</v>
      </c>
      <c r="J87" s="171" t="s">
        <v>207</v>
      </c>
    </row>
    <row r="88" spans="1:10" ht="12.5" x14ac:dyDescent="0.35">
      <c r="A88" s="17">
        <v>79</v>
      </c>
      <c r="B88" s="18">
        <v>43343</v>
      </c>
      <c r="C88" s="126" t="str">
        <f>LOOKUP(B88,'HIDDEN DATA'!$A:$B,'HIDDEN DATA'!$C:$C)</f>
        <v>2017-2018</v>
      </c>
      <c r="D88" s="166" t="s">
        <v>143</v>
      </c>
      <c r="E88" s="127" t="str">
        <f>VLOOKUP(D88,'PLAN COMPTABLE'!$C:$D,2,0)</f>
        <v>Charge</v>
      </c>
      <c r="F88" s="166" t="s">
        <v>139</v>
      </c>
      <c r="G88" s="19">
        <v>479</v>
      </c>
      <c r="H88" s="166" t="s">
        <v>140</v>
      </c>
      <c r="I88" s="128">
        <v>40</v>
      </c>
      <c r="J88" s="171" t="s">
        <v>144</v>
      </c>
    </row>
    <row r="89" spans="1:10" ht="12.5" x14ac:dyDescent="0.35">
      <c r="A89" s="17">
        <v>1</v>
      </c>
      <c r="B89" s="18">
        <v>43420</v>
      </c>
      <c r="C89" s="126" t="str">
        <f>LOOKUP(B89,'HIDDEN DATA'!$A:$B,'HIDDEN DATA'!$C:$C)</f>
        <v>2018-2019</v>
      </c>
      <c r="D89" s="166" t="s">
        <v>153</v>
      </c>
      <c r="E89" s="127" t="str">
        <f>VLOOKUP(D89,'PLAN COMPTABLE'!$C:$D,2,0)</f>
        <v>Charge</v>
      </c>
      <c r="F89" s="166" t="s">
        <v>139</v>
      </c>
      <c r="G89" s="19">
        <v>482</v>
      </c>
      <c r="H89" s="166" t="s">
        <v>140</v>
      </c>
      <c r="I89" s="128">
        <v>299</v>
      </c>
      <c r="J89" s="171" t="s">
        <v>208</v>
      </c>
    </row>
    <row r="90" spans="1:10" ht="12.5" x14ac:dyDescent="0.35">
      <c r="A90" s="17">
        <v>2</v>
      </c>
      <c r="B90" s="18">
        <v>43420</v>
      </c>
      <c r="C90" s="126" t="str">
        <f>LOOKUP(B90,'HIDDEN DATA'!$A:$B,'HIDDEN DATA'!$C:$C)</f>
        <v>2018-2019</v>
      </c>
      <c r="D90" s="166" t="s">
        <v>204</v>
      </c>
      <c r="E90" s="127" t="str">
        <f>VLOOKUP(D90,'PLAN COMPTABLE'!$C:$D,2,0)</f>
        <v>Charge</v>
      </c>
      <c r="F90" s="166" t="s">
        <v>139</v>
      </c>
      <c r="G90" s="19">
        <v>483</v>
      </c>
      <c r="H90" s="166" t="s">
        <v>140</v>
      </c>
      <c r="I90" s="128">
        <v>51.74</v>
      </c>
      <c r="J90" s="171" t="s">
        <v>208</v>
      </c>
    </row>
    <row r="91" spans="1:10" ht="12.5" x14ac:dyDescent="0.35">
      <c r="A91" s="17">
        <v>3</v>
      </c>
      <c r="B91" s="18">
        <v>43420</v>
      </c>
      <c r="C91" s="126" t="str">
        <f>LOOKUP(B91,'HIDDEN DATA'!$A:$B,'HIDDEN DATA'!$C:$C)</f>
        <v>2018-2019</v>
      </c>
      <c r="D91" s="166" t="s">
        <v>143</v>
      </c>
      <c r="E91" s="127" t="str">
        <f>VLOOKUP(D91,'PLAN COMPTABLE'!$C:$D,2,0)</f>
        <v>Charge</v>
      </c>
      <c r="F91" s="166" t="s">
        <v>139</v>
      </c>
      <c r="G91" s="174">
        <v>484</v>
      </c>
      <c r="H91" s="166" t="s">
        <v>140</v>
      </c>
      <c r="I91" s="128">
        <v>43.65</v>
      </c>
      <c r="J91" s="171" t="s">
        <v>208</v>
      </c>
    </row>
    <row r="92" spans="1:10" ht="12.5" x14ac:dyDescent="0.35">
      <c r="A92" s="17">
        <v>4</v>
      </c>
      <c r="B92" s="18">
        <v>43423</v>
      </c>
      <c r="C92" s="126" t="str">
        <f>LOOKUP(B92,'HIDDEN DATA'!$A:$B,'HIDDEN DATA'!$C:$C)</f>
        <v>2018-2019</v>
      </c>
      <c r="D92" s="166" t="s">
        <v>204</v>
      </c>
      <c r="E92" s="127" t="str">
        <f>VLOOKUP(D92,'PLAN COMPTABLE'!$C:$D,2,0)</f>
        <v>Charge</v>
      </c>
      <c r="F92" s="166" t="s">
        <v>139</v>
      </c>
      <c r="G92" s="19">
        <v>485</v>
      </c>
      <c r="H92" s="166" t="s">
        <v>140</v>
      </c>
      <c r="I92" s="128">
        <v>335.85</v>
      </c>
      <c r="J92" s="171" t="s">
        <v>150</v>
      </c>
    </row>
    <row r="93" spans="1:10" ht="12.5" x14ac:dyDescent="0.35">
      <c r="A93" s="17">
        <v>5</v>
      </c>
      <c r="B93" s="18">
        <v>43423</v>
      </c>
      <c r="C93" s="126" t="str">
        <f>LOOKUP(B93,'HIDDEN DATA'!$A:$B,'HIDDEN DATA'!$C:$C)</f>
        <v>2018-2019</v>
      </c>
      <c r="D93" s="166" t="s">
        <v>167</v>
      </c>
      <c r="E93" s="127" t="str">
        <f>VLOOKUP(D93,'PLAN COMPTABLE'!$C:$D,2,0)</f>
        <v>Produit</v>
      </c>
      <c r="F93" s="166" t="s">
        <v>139</v>
      </c>
      <c r="G93" s="19">
        <v>984924</v>
      </c>
      <c r="H93" s="166" t="s">
        <v>140</v>
      </c>
      <c r="I93" s="128">
        <v>2341.5</v>
      </c>
      <c r="J93" s="171" t="s">
        <v>168</v>
      </c>
    </row>
    <row r="94" spans="1:10" ht="12.5" x14ac:dyDescent="0.35">
      <c r="A94" s="17">
        <v>6</v>
      </c>
      <c r="B94" s="18">
        <v>43423</v>
      </c>
      <c r="C94" s="126" t="str">
        <f>LOOKUP(B94,'HIDDEN DATA'!$A:$B,'HIDDEN DATA'!$C:$C)</f>
        <v>2018-2019</v>
      </c>
      <c r="D94" s="166" t="s">
        <v>169</v>
      </c>
      <c r="E94" s="127" t="str">
        <f>VLOOKUP(D94,'PLAN COMPTABLE'!$C:$D,2,0)</f>
        <v>Produit</v>
      </c>
      <c r="F94" s="166" t="s">
        <v>139</v>
      </c>
      <c r="G94" s="19">
        <v>984925</v>
      </c>
      <c r="H94" s="166" t="s">
        <v>140</v>
      </c>
      <c r="I94" s="128">
        <v>921</v>
      </c>
      <c r="J94" s="171" t="s">
        <v>168</v>
      </c>
    </row>
    <row r="95" spans="1:10" ht="12.5" x14ac:dyDescent="0.35">
      <c r="A95" s="17">
        <v>7</v>
      </c>
      <c r="B95" s="18">
        <v>43423</v>
      </c>
      <c r="C95" s="126" t="str">
        <f>LOOKUP(B95,'HIDDEN DATA'!$A:$B,'HIDDEN DATA'!$C:$C)</f>
        <v>2018-2019</v>
      </c>
      <c r="D95" s="166" t="s">
        <v>170</v>
      </c>
      <c r="E95" s="127" t="str">
        <f>VLOOKUP(D95,'PLAN COMPTABLE'!$C:$D,2,0)</f>
        <v>Produit</v>
      </c>
      <c r="F95" s="166" t="s">
        <v>139</v>
      </c>
      <c r="G95" s="19">
        <v>984925</v>
      </c>
      <c r="H95" s="166" t="s">
        <v>140</v>
      </c>
      <c r="I95" s="128">
        <v>210</v>
      </c>
      <c r="J95" s="171" t="s">
        <v>168</v>
      </c>
    </row>
    <row r="96" spans="1:10" ht="12.5" x14ac:dyDescent="0.35">
      <c r="A96" s="17">
        <v>8</v>
      </c>
      <c r="B96" s="18">
        <v>43424</v>
      </c>
      <c r="C96" s="126" t="str">
        <f>LOOKUP(B96,'HIDDEN DATA'!$A:$B,'HIDDEN DATA'!$C:$C)</f>
        <v>2018-2019</v>
      </c>
      <c r="D96" s="166" t="s">
        <v>209</v>
      </c>
      <c r="E96" s="127" t="str">
        <f>VLOOKUP(D96,'PLAN COMPTABLE'!$C:$D,2,0)</f>
        <v>Charge</v>
      </c>
      <c r="F96" s="166" t="s">
        <v>139</v>
      </c>
      <c r="G96" s="19">
        <v>486</v>
      </c>
      <c r="H96" s="166" t="s">
        <v>140</v>
      </c>
      <c r="I96" s="128">
        <v>412.86</v>
      </c>
      <c r="J96" s="171" t="s">
        <v>163</v>
      </c>
    </row>
    <row r="97" spans="1:10" ht="12.5" x14ac:dyDescent="0.35">
      <c r="A97" s="17">
        <v>9</v>
      </c>
      <c r="B97" s="18">
        <v>43424</v>
      </c>
      <c r="C97" s="126" t="str">
        <f>LOOKUP(B97,'HIDDEN DATA'!$A:$B,'HIDDEN DATA'!$C:$C)</f>
        <v>2018-2019</v>
      </c>
      <c r="D97" s="166" t="s">
        <v>148</v>
      </c>
      <c r="E97" s="127" t="e">
        <f>VLOOKUP(D97,'PLAN COMPTABLE'!$C:$D,2,0)</f>
        <v>#N/A</v>
      </c>
      <c r="F97" s="166" t="s">
        <v>139</v>
      </c>
      <c r="G97" s="19">
        <v>487</v>
      </c>
      <c r="H97" s="166" t="s">
        <v>140</v>
      </c>
      <c r="I97" s="128">
        <v>4.97</v>
      </c>
      <c r="J97" s="171" t="s">
        <v>163</v>
      </c>
    </row>
    <row r="98" spans="1:10" ht="12.5" x14ac:dyDescent="0.35">
      <c r="A98" s="17">
        <v>10</v>
      </c>
      <c r="B98" s="18">
        <v>43424</v>
      </c>
      <c r="C98" s="126" t="str">
        <f>LOOKUP(B98,'HIDDEN DATA'!$A:$B,'HIDDEN DATA'!$C:$C)</f>
        <v>2018-2019</v>
      </c>
      <c r="D98" s="166" t="s">
        <v>148</v>
      </c>
      <c r="E98" s="127" t="e">
        <f>VLOOKUP(D98,'PLAN COMPTABLE'!$C:$D,2,0)</f>
        <v>#N/A</v>
      </c>
      <c r="F98" s="166" t="s">
        <v>139</v>
      </c>
      <c r="G98" s="19">
        <v>488</v>
      </c>
      <c r="H98" s="166" t="s">
        <v>140</v>
      </c>
      <c r="I98" s="128">
        <v>150</v>
      </c>
      <c r="J98" s="171" t="s">
        <v>163</v>
      </c>
    </row>
    <row r="99" spans="1:10" ht="12.5" x14ac:dyDescent="0.35">
      <c r="A99" s="17">
        <v>11</v>
      </c>
      <c r="B99" s="18">
        <v>43424</v>
      </c>
      <c r="C99" s="126" t="str">
        <f>LOOKUP(B99,'HIDDEN DATA'!$A:$B,'HIDDEN DATA'!$C:$C)</f>
        <v>2018-2019</v>
      </c>
      <c r="D99" s="166" t="s">
        <v>148</v>
      </c>
      <c r="E99" s="127" t="e">
        <f>VLOOKUP(D99,'PLAN COMPTABLE'!$C:$D,2,0)</f>
        <v>#N/A</v>
      </c>
      <c r="F99" s="166" t="s">
        <v>139</v>
      </c>
      <c r="G99" s="19">
        <v>489</v>
      </c>
      <c r="H99" s="166" t="s">
        <v>140</v>
      </c>
      <c r="I99" s="128">
        <v>50</v>
      </c>
      <c r="J99" s="171" t="s">
        <v>163</v>
      </c>
    </row>
    <row r="100" spans="1:10" ht="12.5" x14ac:dyDescent="0.35">
      <c r="A100" s="17">
        <v>12</v>
      </c>
      <c r="B100" s="18">
        <v>43424</v>
      </c>
      <c r="C100" s="126" t="str">
        <f>LOOKUP(B100,'HIDDEN DATA'!$A:$B,'HIDDEN DATA'!$C:$C)</f>
        <v>2018-2019</v>
      </c>
      <c r="D100" s="166" t="s">
        <v>146</v>
      </c>
      <c r="E100" s="127" t="str">
        <f>VLOOKUP(D100,'PLAN COMPTABLE'!$C:$D,2,0)</f>
        <v>Charge</v>
      </c>
      <c r="F100" s="166" t="s">
        <v>139</v>
      </c>
      <c r="G100" s="19">
        <v>490</v>
      </c>
      <c r="H100" s="166" t="s">
        <v>140</v>
      </c>
      <c r="I100" s="128">
        <v>13.85</v>
      </c>
      <c r="J100" s="171" t="s">
        <v>144</v>
      </c>
    </row>
    <row r="101" spans="1:10" ht="12.5" x14ac:dyDescent="0.35">
      <c r="A101" s="17">
        <v>13</v>
      </c>
      <c r="B101" s="18">
        <v>43426</v>
      </c>
      <c r="C101" s="126" t="str">
        <f>LOOKUP(B101,'HIDDEN DATA'!$A:$B,'HIDDEN DATA'!$C:$C)</f>
        <v>2018-2019</v>
      </c>
      <c r="D101" s="166" t="s">
        <v>209</v>
      </c>
      <c r="E101" s="127" t="str">
        <f>VLOOKUP(D101,'PLAN COMPTABLE'!$C:$D,2,0)</f>
        <v>Charge</v>
      </c>
      <c r="F101" s="166" t="s">
        <v>139</v>
      </c>
      <c r="G101" s="19">
        <v>491</v>
      </c>
      <c r="H101" s="166" t="s">
        <v>140</v>
      </c>
      <c r="I101" s="128">
        <v>57.72</v>
      </c>
      <c r="J101" s="171" t="s">
        <v>187</v>
      </c>
    </row>
    <row r="102" spans="1:10" ht="12.5" x14ac:dyDescent="0.35">
      <c r="A102" s="17">
        <v>14</v>
      </c>
      <c r="B102" s="18">
        <v>43430</v>
      </c>
      <c r="C102" s="126" t="str">
        <f>LOOKUP(B102,'HIDDEN DATA'!$A:$B,'HIDDEN DATA'!$C:$C)</f>
        <v>2018-2019</v>
      </c>
      <c r="D102" s="166" t="s">
        <v>85</v>
      </c>
      <c r="E102" s="127" t="str">
        <f>VLOOKUP(D102,'PLAN COMPTABLE'!$C:$D,2,0)</f>
        <v>Charge</v>
      </c>
      <c r="F102" s="166" t="s">
        <v>139</v>
      </c>
      <c r="G102" s="19">
        <v>492</v>
      </c>
      <c r="H102" s="166" t="s">
        <v>140</v>
      </c>
      <c r="I102" s="128">
        <v>184.46</v>
      </c>
      <c r="J102" s="171" t="s">
        <v>210</v>
      </c>
    </row>
    <row r="103" spans="1:10" ht="12.5" x14ac:dyDescent="0.35">
      <c r="A103" s="17">
        <v>15</v>
      </c>
      <c r="B103" s="18">
        <v>43432</v>
      </c>
      <c r="C103" s="126" t="str">
        <f>LOOKUP(B103,'HIDDEN DATA'!$A:$B,'HIDDEN DATA'!$C:$C)</f>
        <v>2018-2019</v>
      </c>
      <c r="D103" s="166" t="s">
        <v>183</v>
      </c>
      <c r="E103" s="127" t="str">
        <f>VLOOKUP(D103,'PLAN COMPTABLE'!$C:$D,2,0)</f>
        <v>Charge</v>
      </c>
      <c r="F103" s="166" t="s">
        <v>139</v>
      </c>
      <c r="G103" s="19">
        <v>493</v>
      </c>
      <c r="H103" s="166" t="s">
        <v>140</v>
      </c>
      <c r="I103" s="128">
        <v>74.8</v>
      </c>
      <c r="J103" s="171" t="s">
        <v>211</v>
      </c>
    </row>
    <row r="104" spans="1:10" ht="12.5" x14ac:dyDescent="0.35">
      <c r="A104" s="17">
        <v>16</v>
      </c>
      <c r="B104" s="18">
        <v>43433</v>
      </c>
      <c r="C104" s="126" t="str">
        <f>LOOKUP(B104,'HIDDEN DATA'!$A:$B,'HIDDEN DATA'!$C:$C)</f>
        <v>2018-2019</v>
      </c>
      <c r="D104" s="166" t="s">
        <v>183</v>
      </c>
      <c r="E104" s="127" t="str">
        <f>VLOOKUP(D104,'PLAN COMPTABLE'!$C:$D,2,0)</f>
        <v>Charge</v>
      </c>
      <c r="F104" s="166" t="s">
        <v>139</v>
      </c>
      <c r="G104" s="19">
        <v>494</v>
      </c>
      <c r="H104" s="166" t="s">
        <v>140</v>
      </c>
      <c r="I104" s="128">
        <v>52.37</v>
      </c>
      <c r="J104" s="171" t="s">
        <v>212</v>
      </c>
    </row>
    <row r="105" spans="1:10" ht="12.5" x14ac:dyDescent="0.35">
      <c r="A105" s="17">
        <v>17</v>
      </c>
      <c r="B105" s="18">
        <v>43433</v>
      </c>
      <c r="C105" s="126" t="str">
        <f>LOOKUP(B105,'HIDDEN DATA'!$A:$B,'HIDDEN DATA'!$C:$C)</f>
        <v>2018-2019</v>
      </c>
      <c r="D105" s="166" t="s">
        <v>177</v>
      </c>
      <c r="E105" s="127" t="str">
        <f>VLOOKUP(D105,'PLAN COMPTABLE'!$C:$D,2,0)</f>
        <v>Charge</v>
      </c>
      <c r="F105" s="166" t="s">
        <v>139</v>
      </c>
      <c r="G105" s="19">
        <v>496</v>
      </c>
      <c r="H105" s="166" t="s">
        <v>140</v>
      </c>
      <c r="I105" s="128">
        <v>32.81</v>
      </c>
      <c r="J105" s="171" t="s">
        <v>213</v>
      </c>
    </row>
    <row r="106" spans="1:10" ht="12.5" x14ac:dyDescent="0.35">
      <c r="A106" s="17">
        <v>18</v>
      </c>
      <c r="B106" s="18">
        <v>43433</v>
      </c>
      <c r="C106" s="126" t="str">
        <f>LOOKUP(B106,'HIDDEN DATA'!$A:$B,'HIDDEN DATA'!$C:$C)</f>
        <v>2018-2019</v>
      </c>
      <c r="D106" s="166" t="s">
        <v>214</v>
      </c>
      <c r="E106" s="127" t="str">
        <f>VLOOKUP(D106,'PLAN COMPTABLE'!$C:$D,2,0)</f>
        <v>Charge</v>
      </c>
      <c r="F106" s="166" t="s">
        <v>139</v>
      </c>
      <c r="G106" s="19">
        <v>497</v>
      </c>
      <c r="H106" s="166" t="s">
        <v>140</v>
      </c>
      <c r="I106" s="128">
        <v>121.39</v>
      </c>
      <c r="J106" s="171" t="s">
        <v>213</v>
      </c>
    </row>
    <row r="107" spans="1:10" ht="12.5" x14ac:dyDescent="0.35">
      <c r="A107" s="17">
        <v>19</v>
      </c>
      <c r="B107" s="18">
        <v>43433</v>
      </c>
      <c r="C107" s="126" t="str">
        <f>LOOKUP(B107,'HIDDEN DATA'!$A:$B,'HIDDEN DATA'!$C:$C)</f>
        <v>2018-2019</v>
      </c>
      <c r="D107" s="166" t="s">
        <v>143</v>
      </c>
      <c r="E107" s="127" t="str">
        <f>VLOOKUP(D107,'PLAN COMPTABLE'!$C:$D,2,0)</f>
        <v>Charge</v>
      </c>
      <c r="F107" s="166" t="s">
        <v>139</v>
      </c>
      <c r="G107" s="19">
        <v>498</v>
      </c>
      <c r="H107" s="166" t="s">
        <v>140</v>
      </c>
      <c r="I107" s="128">
        <v>40</v>
      </c>
      <c r="J107" s="171" t="s">
        <v>203</v>
      </c>
    </row>
    <row r="108" spans="1:10" ht="12.5" x14ac:dyDescent="0.35">
      <c r="A108" s="17">
        <v>20</v>
      </c>
      <c r="B108" s="18">
        <v>43433</v>
      </c>
      <c r="C108" s="126" t="str">
        <f>LOOKUP(B108,'HIDDEN DATA'!$A:$B,'HIDDEN DATA'!$C:$C)</f>
        <v>2018-2019</v>
      </c>
      <c r="D108" s="166" t="s">
        <v>143</v>
      </c>
      <c r="E108" s="127" t="str">
        <f>VLOOKUP(D108,'PLAN COMPTABLE'!$C:$D,2,0)</f>
        <v>Charge</v>
      </c>
      <c r="F108" s="166" t="s">
        <v>139</v>
      </c>
      <c r="G108" s="19">
        <v>499</v>
      </c>
      <c r="H108" s="166" t="s">
        <v>140</v>
      </c>
      <c r="I108" s="128">
        <v>60</v>
      </c>
      <c r="J108" s="171" t="s">
        <v>203</v>
      </c>
    </row>
    <row r="109" spans="1:10" ht="12.5" x14ac:dyDescent="0.35">
      <c r="A109" s="17">
        <v>21</v>
      </c>
      <c r="B109" s="18">
        <v>43433</v>
      </c>
      <c r="C109" s="126" t="str">
        <f>LOOKUP(B109,'HIDDEN DATA'!$A:$B,'HIDDEN DATA'!$C:$C)</f>
        <v>2018-2019</v>
      </c>
      <c r="D109" s="166" t="s">
        <v>148</v>
      </c>
      <c r="E109" s="127" t="e">
        <f>VLOOKUP(D109,'PLAN COMPTABLE'!$C:$D,2,0)</f>
        <v>#N/A</v>
      </c>
      <c r="F109" s="166" t="s">
        <v>139</v>
      </c>
      <c r="G109" s="19">
        <v>500</v>
      </c>
      <c r="H109" s="166" t="s">
        <v>140</v>
      </c>
      <c r="I109" s="128">
        <v>25.67</v>
      </c>
      <c r="J109" s="171" t="s">
        <v>163</v>
      </c>
    </row>
    <row r="110" spans="1:10" ht="12.5" x14ac:dyDescent="0.35">
      <c r="A110" s="17">
        <v>22</v>
      </c>
      <c r="B110" s="18">
        <v>43433</v>
      </c>
      <c r="C110" s="126" t="str">
        <f>LOOKUP(B110,'HIDDEN DATA'!$A:$B,'HIDDEN DATA'!$C:$C)</f>
        <v>2018-2019</v>
      </c>
      <c r="D110" s="166" t="s">
        <v>215</v>
      </c>
      <c r="E110" s="127" t="str">
        <f>VLOOKUP(D110,'PLAN COMPTABLE'!$C:$D,2,0)</f>
        <v>Charge</v>
      </c>
      <c r="F110" s="166" t="s">
        <v>139</v>
      </c>
      <c r="G110" s="19">
        <v>501</v>
      </c>
      <c r="H110" s="166" t="s">
        <v>140</v>
      </c>
      <c r="I110" s="128">
        <v>150</v>
      </c>
      <c r="J110" s="171" t="s">
        <v>216</v>
      </c>
    </row>
    <row r="111" spans="1:10" ht="12.5" x14ac:dyDescent="0.35">
      <c r="A111" s="17">
        <v>23</v>
      </c>
      <c r="B111" s="18">
        <v>43433</v>
      </c>
      <c r="C111" s="126" t="str">
        <f>LOOKUP(B111,'HIDDEN DATA'!$A:$B,'HIDDEN DATA'!$C:$C)</f>
        <v>2018-2019</v>
      </c>
      <c r="D111" s="166" t="s">
        <v>215</v>
      </c>
      <c r="E111" s="127" t="str">
        <f>VLOOKUP(D111,'PLAN COMPTABLE'!$C:$D,2,0)</f>
        <v>Charge</v>
      </c>
      <c r="F111" s="166" t="s">
        <v>139</v>
      </c>
      <c r="G111" s="19">
        <v>502</v>
      </c>
      <c r="H111" s="166" t="s">
        <v>140</v>
      </c>
      <c r="I111" s="128">
        <v>150</v>
      </c>
      <c r="J111" s="171" t="s">
        <v>161</v>
      </c>
    </row>
    <row r="112" spans="1:10" ht="12.5" x14ac:dyDescent="0.35">
      <c r="A112" s="17">
        <v>24</v>
      </c>
      <c r="B112" s="18">
        <v>43440</v>
      </c>
      <c r="C112" s="126" t="str">
        <f>LOOKUP(B112,'HIDDEN DATA'!$A:$B,'HIDDEN DATA'!$C:$C)</f>
        <v>2018-2019</v>
      </c>
      <c r="D112" s="166" t="s">
        <v>175</v>
      </c>
      <c r="E112" s="127" t="str">
        <f>VLOOKUP(D112,'PLAN COMPTABLE'!$C:$D,2,0)</f>
        <v>Charge</v>
      </c>
      <c r="F112" s="166" t="s">
        <v>139</v>
      </c>
      <c r="G112" s="174">
        <v>503</v>
      </c>
      <c r="H112" s="166" t="s">
        <v>140</v>
      </c>
      <c r="I112" s="128">
        <v>1600</v>
      </c>
      <c r="J112" s="171" t="s">
        <v>176</v>
      </c>
    </row>
    <row r="113" spans="1:10" ht="12.5" x14ac:dyDescent="0.35">
      <c r="A113" s="17">
        <v>25</v>
      </c>
      <c r="B113" s="18">
        <v>43447</v>
      </c>
      <c r="C113" s="126" t="str">
        <f>LOOKUP(B113,'HIDDEN DATA'!$A:$B,'HIDDEN DATA'!$C:$C)</f>
        <v>2018-2019</v>
      </c>
      <c r="D113" s="166" t="s">
        <v>156</v>
      </c>
      <c r="E113" s="127" t="str">
        <f>VLOOKUP(D113,'PLAN COMPTABLE'!$C:$D,2,0)</f>
        <v>Charge</v>
      </c>
      <c r="F113" s="166" t="s">
        <v>139</v>
      </c>
      <c r="G113" s="19">
        <v>504</v>
      </c>
      <c r="H113" s="166" t="s">
        <v>140</v>
      </c>
      <c r="I113" s="128">
        <v>17.04</v>
      </c>
      <c r="J113" s="171" t="s">
        <v>208</v>
      </c>
    </row>
    <row r="114" spans="1:10" ht="12.5" x14ac:dyDescent="0.35">
      <c r="A114" s="17">
        <v>26</v>
      </c>
      <c r="B114" s="18">
        <v>43447</v>
      </c>
      <c r="C114" s="126" t="str">
        <f>LOOKUP(B114,'HIDDEN DATA'!$A:$B,'HIDDEN DATA'!$C:$C)</f>
        <v>2018-2019</v>
      </c>
      <c r="D114" s="166" t="s">
        <v>148</v>
      </c>
      <c r="E114" s="127" t="e">
        <f>VLOOKUP(D114,'PLAN COMPTABLE'!$C:$D,2,0)</f>
        <v>#N/A</v>
      </c>
      <c r="F114" s="166" t="s">
        <v>139</v>
      </c>
      <c r="G114" s="19">
        <v>505</v>
      </c>
      <c r="H114" s="166" t="s">
        <v>140</v>
      </c>
      <c r="I114" s="128">
        <v>172.46</v>
      </c>
      <c r="J114" s="171" t="s">
        <v>163</v>
      </c>
    </row>
    <row r="115" spans="1:10" ht="12.5" x14ac:dyDescent="0.35">
      <c r="A115" s="17">
        <v>27</v>
      </c>
      <c r="B115" s="18">
        <v>43447</v>
      </c>
      <c r="C115" s="126" t="str">
        <f>LOOKUP(B115,'HIDDEN DATA'!$A:$B,'HIDDEN DATA'!$C:$C)</f>
        <v>2018-2019</v>
      </c>
      <c r="D115" s="166" t="s">
        <v>160</v>
      </c>
      <c r="E115" s="127" t="str">
        <f>VLOOKUP(D115,'PLAN COMPTABLE'!$C:$D,2,0)</f>
        <v>Charge</v>
      </c>
      <c r="F115" s="166" t="s">
        <v>139</v>
      </c>
      <c r="G115" s="19">
        <v>506</v>
      </c>
      <c r="H115" s="166" t="s">
        <v>140</v>
      </c>
      <c r="I115" s="128">
        <v>101.18</v>
      </c>
      <c r="J115" s="171" t="s">
        <v>207</v>
      </c>
    </row>
    <row r="116" spans="1:10" ht="12.5" x14ac:dyDescent="0.35">
      <c r="A116" s="17">
        <v>28</v>
      </c>
      <c r="B116" s="18">
        <v>43447</v>
      </c>
      <c r="C116" s="126" t="str">
        <f>LOOKUP(B116,'HIDDEN DATA'!$A:$B,'HIDDEN DATA'!$C:$C)</f>
        <v>2018-2019</v>
      </c>
      <c r="D116" s="166" t="s">
        <v>146</v>
      </c>
      <c r="E116" s="127" t="str">
        <f>VLOOKUP(D116,'PLAN COMPTABLE'!$C:$D,2,0)</f>
        <v>Charge</v>
      </c>
      <c r="F116" s="166" t="s">
        <v>139</v>
      </c>
      <c r="G116" s="19">
        <v>507</v>
      </c>
      <c r="H116" s="166" t="s">
        <v>140</v>
      </c>
      <c r="I116" s="128">
        <v>28.75</v>
      </c>
      <c r="J116" s="171" t="s">
        <v>207</v>
      </c>
    </row>
    <row r="117" spans="1:10" ht="12.5" x14ac:dyDescent="0.35">
      <c r="A117" s="17">
        <v>29</v>
      </c>
      <c r="B117" s="18">
        <v>43447</v>
      </c>
      <c r="C117" s="126" t="str">
        <f>LOOKUP(B117,'HIDDEN DATA'!$A:$B,'HIDDEN DATA'!$C:$C)</f>
        <v>2018-2019</v>
      </c>
      <c r="D117" s="166" t="s">
        <v>148</v>
      </c>
      <c r="E117" s="127" t="e">
        <f>VLOOKUP(D117,'PLAN COMPTABLE'!$C:$D,2,0)</f>
        <v>#N/A</v>
      </c>
      <c r="F117" s="166" t="s">
        <v>139</v>
      </c>
      <c r="G117" s="19">
        <v>509</v>
      </c>
      <c r="H117" s="166" t="s">
        <v>140</v>
      </c>
      <c r="I117" s="128">
        <v>50</v>
      </c>
      <c r="J117" s="171" t="s">
        <v>163</v>
      </c>
    </row>
    <row r="118" spans="1:10" ht="12.5" x14ac:dyDescent="0.35">
      <c r="A118" s="17">
        <v>30</v>
      </c>
      <c r="B118" s="18">
        <v>43447</v>
      </c>
      <c r="C118" s="126" t="str">
        <f>LOOKUP(B118,'HIDDEN DATA'!$A:$B,'HIDDEN DATA'!$C:$C)</f>
        <v>2018-2019</v>
      </c>
      <c r="D118" s="166" t="s">
        <v>148</v>
      </c>
      <c r="E118" s="127" t="e">
        <f>VLOOKUP(D118,'PLAN COMPTABLE'!$C:$D,2,0)</f>
        <v>#N/A</v>
      </c>
      <c r="F118" s="166" t="s">
        <v>139</v>
      </c>
      <c r="G118" s="19">
        <v>510</v>
      </c>
      <c r="H118" s="166" t="s">
        <v>140</v>
      </c>
      <c r="I118" s="128">
        <v>4.83</v>
      </c>
      <c r="J118" s="171" t="s">
        <v>163</v>
      </c>
    </row>
    <row r="119" spans="1:10" ht="12.5" x14ac:dyDescent="0.35">
      <c r="A119" s="17">
        <v>31</v>
      </c>
      <c r="B119" s="18">
        <v>43461</v>
      </c>
      <c r="C119" s="126" t="str">
        <f>LOOKUP(B119,'HIDDEN DATA'!$A:$B,'HIDDEN DATA'!$C:$C)</f>
        <v>2018-2019</v>
      </c>
      <c r="D119" s="166" t="s">
        <v>85</v>
      </c>
      <c r="E119" s="127" t="str">
        <f>VLOOKUP(D119,'PLAN COMPTABLE'!$C:$D,2,0)</f>
        <v>Charge</v>
      </c>
      <c r="F119" s="166" t="s">
        <v>139</v>
      </c>
      <c r="G119" s="19">
        <v>511</v>
      </c>
      <c r="H119" s="166" t="s">
        <v>140</v>
      </c>
      <c r="I119" s="128">
        <v>22.5</v>
      </c>
      <c r="J119" s="171" t="s">
        <v>150</v>
      </c>
    </row>
    <row r="120" spans="1:10" ht="12.5" x14ac:dyDescent="0.35">
      <c r="A120" s="17">
        <v>32</v>
      </c>
      <c r="B120" s="18">
        <v>43461</v>
      </c>
      <c r="C120" s="126" t="str">
        <f>LOOKUP(B120,'HIDDEN DATA'!$A:$B,'HIDDEN DATA'!$C:$C)</f>
        <v>2018-2019</v>
      </c>
      <c r="D120" s="166" t="s">
        <v>85</v>
      </c>
      <c r="E120" s="127" t="str">
        <f>VLOOKUP(D120,'PLAN COMPTABLE'!$C:$D,2,0)</f>
        <v>Charge</v>
      </c>
      <c r="F120" s="166" t="s">
        <v>139</v>
      </c>
      <c r="G120" s="19">
        <v>512</v>
      </c>
      <c r="H120" s="166" t="s">
        <v>140</v>
      </c>
      <c r="I120" s="128">
        <v>228.05</v>
      </c>
      <c r="J120" s="171" t="s">
        <v>150</v>
      </c>
    </row>
    <row r="121" spans="1:10" ht="12.5" x14ac:dyDescent="0.35">
      <c r="A121" s="17">
        <v>33</v>
      </c>
      <c r="B121" s="18">
        <v>43480</v>
      </c>
      <c r="C121" s="126" t="str">
        <f>LOOKUP(B121,'HIDDEN DATA'!$A:$B,'HIDDEN DATA'!$C:$C)</f>
        <v>2018-2019</v>
      </c>
      <c r="D121" s="166" t="s">
        <v>177</v>
      </c>
      <c r="E121" s="127" t="str">
        <f>VLOOKUP(D121,'PLAN COMPTABLE'!$C:$D,2,0)</f>
        <v>Charge</v>
      </c>
      <c r="F121" s="166" t="s">
        <v>139</v>
      </c>
      <c r="G121" s="19">
        <v>508</v>
      </c>
      <c r="H121" s="166" t="s">
        <v>140</v>
      </c>
      <c r="I121" s="128">
        <v>22.74</v>
      </c>
      <c r="J121" s="171" t="s">
        <v>213</v>
      </c>
    </row>
    <row r="122" spans="1:10" ht="12.5" x14ac:dyDescent="0.35">
      <c r="A122" s="17">
        <v>34</v>
      </c>
      <c r="B122" s="18">
        <v>43479</v>
      </c>
      <c r="C122" s="126" t="str">
        <f>LOOKUP(B122,'HIDDEN DATA'!$A:$B,'HIDDEN DATA'!$C:$C)</f>
        <v>2018-2019</v>
      </c>
      <c r="D122" s="166" t="s">
        <v>148</v>
      </c>
      <c r="E122" s="127" t="e">
        <f>VLOOKUP(D122,'PLAN COMPTABLE'!$C:$D,2,0)</f>
        <v>#N/A</v>
      </c>
      <c r="F122" s="166" t="s">
        <v>139</v>
      </c>
      <c r="G122" s="19">
        <v>513</v>
      </c>
      <c r="H122" s="166" t="s">
        <v>140</v>
      </c>
      <c r="I122" s="128">
        <v>41.33</v>
      </c>
      <c r="J122" s="171" t="s">
        <v>217</v>
      </c>
    </row>
    <row r="123" spans="1:10" ht="12.5" x14ac:dyDescent="0.35">
      <c r="A123" s="17">
        <v>35</v>
      </c>
      <c r="B123" s="18">
        <v>43479</v>
      </c>
      <c r="C123" s="126" t="str">
        <f>LOOKUP(B123,'HIDDEN DATA'!$A:$B,'HIDDEN DATA'!$C:$C)</f>
        <v>2018-2019</v>
      </c>
      <c r="D123" s="166" t="s">
        <v>148</v>
      </c>
      <c r="E123" s="127" t="e">
        <f>VLOOKUP(D123,'PLAN COMPTABLE'!$C:$D,2,0)</f>
        <v>#N/A</v>
      </c>
      <c r="F123" s="166" t="s">
        <v>139</v>
      </c>
      <c r="G123" s="19">
        <v>514</v>
      </c>
      <c r="H123" s="166" t="s">
        <v>140</v>
      </c>
      <c r="I123" s="128">
        <v>100</v>
      </c>
      <c r="J123" s="171" t="s">
        <v>217</v>
      </c>
    </row>
    <row r="124" spans="1:10" ht="12.5" x14ac:dyDescent="0.35">
      <c r="A124" s="17">
        <v>36</v>
      </c>
      <c r="B124" s="18">
        <v>43482</v>
      </c>
      <c r="C124" s="126" t="str">
        <f>LOOKUP(B124,'HIDDEN DATA'!$A:$B,'HIDDEN DATA'!$C:$C)</f>
        <v>2018-2019</v>
      </c>
      <c r="D124" s="166" t="s">
        <v>156</v>
      </c>
      <c r="E124" s="127" t="str">
        <f>VLOOKUP(D124,'PLAN COMPTABLE'!$C:$D,2,0)</f>
        <v>Charge</v>
      </c>
      <c r="F124" s="166" t="s">
        <v>139</v>
      </c>
      <c r="G124" s="19">
        <v>515</v>
      </c>
      <c r="H124" s="166" t="s">
        <v>140</v>
      </c>
      <c r="I124" s="128">
        <v>14.13</v>
      </c>
      <c r="J124" s="171" t="s">
        <v>161</v>
      </c>
    </row>
    <row r="125" spans="1:10" ht="12.5" x14ac:dyDescent="0.35">
      <c r="A125" s="17">
        <v>37</v>
      </c>
      <c r="B125" s="18">
        <v>43482</v>
      </c>
      <c r="C125" s="126" t="str">
        <f>LOOKUP(B125,'HIDDEN DATA'!$A:$B,'HIDDEN DATA'!$C:$C)</f>
        <v>2018-2019</v>
      </c>
      <c r="D125" s="166" t="s">
        <v>159</v>
      </c>
      <c r="E125" s="127" t="str">
        <f>VLOOKUP(D125,'PLAN COMPTABLE'!$C:$D,2,0)</f>
        <v>Charge</v>
      </c>
      <c r="F125" s="166" t="s">
        <v>139</v>
      </c>
      <c r="G125" s="19">
        <v>516</v>
      </c>
      <c r="H125" s="166" t="s">
        <v>140</v>
      </c>
      <c r="I125" s="128">
        <v>255</v>
      </c>
      <c r="J125" s="171" t="s">
        <v>161</v>
      </c>
    </row>
    <row r="126" spans="1:10" ht="12.5" x14ac:dyDescent="0.35">
      <c r="A126" s="17">
        <v>38</v>
      </c>
      <c r="B126" s="18">
        <v>43482</v>
      </c>
      <c r="C126" s="126" t="str">
        <f>LOOKUP(B126,'HIDDEN DATA'!$A:$B,'HIDDEN DATA'!$C:$C)</f>
        <v>2018-2019</v>
      </c>
      <c r="D126" s="166" t="s">
        <v>170</v>
      </c>
      <c r="E126" s="127" t="str">
        <f>VLOOKUP(D126,'PLAN COMPTABLE'!$C:$D,2,0)</f>
        <v>Produit</v>
      </c>
      <c r="F126" s="166" t="s">
        <v>139</v>
      </c>
      <c r="G126" s="19">
        <v>992917</v>
      </c>
      <c r="H126" s="166" t="s">
        <v>140</v>
      </c>
      <c r="I126" s="128">
        <v>1450.5</v>
      </c>
      <c r="J126" s="171" t="s">
        <v>218</v>
      </c>
    </row>
    <row r="127" spans="1:10" ht="12.5" x14ac:dyDescent="0.35">
      <c r="A127" s="17">
        <v>39</v>
      </c>
      <c r="B127" s="18">
        <v>43482</v>
      </c>
      <c r="C127" s="126" t="str">
        <f>LOOKUP(B127,'HIDDEN DATA'!$A:$B,'HIDDEN DATA'!$C:$C)</f>
        <v>2018-2019</v>
      </c>
      <c r="D127" s="166" t="s">
        <v>169</v>
      </c>
      <c r="E127" s="127" t="str">
        <f>VLOOKUP(D127,'PLAN COMPTABLE'!$C:$D,2,0)</f>
        <v>Produit</v>
      </c>
      <c r="F127" s="166" t="s">
        <v>139</v>
      </c>
      <c r="G127" s="19">
        <v>992917</v>
      </c>
      <c r="H127" s="166" t="s">
        <v>140</v>
      </c>
      <c r="I127" s="128">
        <v>714</v>
      </c>
      <c r="J127" s="171" t="s">
        <v>218</v>
      </c>
    </row>
    <row r="128" spans="1:10" ht="12.5" x14ac:dyDescent="0.35">
      <c r="A128" s="17">
        <v>40</v>
      </c>
      <c r="B128" s="18">
        <v>43489</v>
      </c>
      <c r="C128" s="126" t="str">
        <f>LOOKUP(B128,'HIDDEN DATA'!$A:$B,'HIDDEN DATA'!$C:$C)</f>
        <v>2018-2019</v>
      </c>
      <c r="D128" s="166" t="s">
        <v>219</v>
      </c>
      <c r="E128" s="127" t="str">
        <f>VLOOKUP(D128,'PLAN COMPTABLE'!$C:$D,2,0)</f>
        <v>Charge</v>
      </c>
      <c r="F128" s="166" t="s">
        <v>139</v>
      </c>
      <c r="G128" s="19">
        <v>517</v>
      </c>
      <c r="H128" s="166" t="s">
        <v>140</v>
      </c>
      <c r="I128" s="128">
        <v>135</v>
      </c>
      <c r="J128" s="171" t="s">
        <v>150</v>
      </c>
    </row>
    <row r="129" spans="1:10" ht="12.5" x14ac:dyDescent="0.35">
      <c r="A129" s="17">
        <v>41</v>
      </c>
      <c r="B129" s="18">
        <v>43489</v>
      </c>
      <c r="C129" s="126" t="str">
        <f>LOOKUP(B129,'HIDDEN DATA'!$A:$B,'HIDDEN DATA'!$C:$C)</f>
        <v>2018-2019</v>
      </c>
      <c r="D129" s="166" t="s">
        <v>177</v>
      </c>
      <c r="E129" s="127" t="str">
        <f>VLOOKUP(D129,'PLAN COMPTABLE'!$C:$D,2,0)</f>
        <v>Charge</v>
      </c>
      <c r="F129" s="166" t="s">
        <v>139</v>
      </c>
      <c r="G129" s="19">
        <v>518</v>
      </c>
      <c r="H129" s="166" t="s">
        <v>140</v>
      </c>
      <c r="I129" s="128">
        <v>39.89</v>
      </c>
      <c r="J129" s="171" t="s">
        <v>150</v>
      </c>
    </row>
    <row r="130" spans="1:10" ht="12.5" x14ac:dyDescent="0.35">
      <c r="A130" s="17">
        <v>42</v>
      </c>
      <c r="B130" s="18">
        <v>43489</v>
      </c>
      <c r="C130" s="126" t="str">
        <f>LOOKUP(B130,'HIDDEN DATA'!$A:$B,'HIDDEN DATA'!$C:$C)</f>
        <v>2018-2019</v>
      </c>
      <c r="D130" s="166" t="s">
        <v>177</v>
      </c>
      <c r="E130" s="127" t="str">
        <f>VLOOKUP(D130,'PLAN COMPTABLE'!$C:$D,2,0)</f>
        <v>Charge</v>
      </c>
      <c r="F130" s="166" t="s">
        <v>139</v>
      </c>
      <c r="G130" s="19">
        <v>519</v>
      </c>
      <c r="H130" s="166" t="s">
        <v>140</v>
      </c>
      <c r="I130" s="128">
        <v>14.81</v>
      </c>
      <c r="J130" s="171" t="s">
        <v>150</v>
      </c>
    </row>
    <row r="131" spans="1:10" ht="12.5" x14ac:dyDescent="0.35">
      <c r="A131" s="17">
        <v>43</v>
      </c>
      <c r="B131" s="18">
        <v>43493</v>
      </c>
      <c r="C131" s="126" t="str">
        <f>LOOKUP(B131,'HIDDEN DATA'!$A:$B,'HIDDEN DATA'!$C:$C)</f>
        <v>2018-2019</v>
      </c>
      <c r="D131" s="166" t="s">
        <v>85</v>
      </c>
      <c r="E131" s="127" t="str">
        <f>VLOOKUP(D131,'PLAN COMPTABLE'!$C:$D,2,0)</f>
        <v>Charge</v>
      </c>
      <c r="F131" s="166" t="s">
        <v>139</v>
      </c>
      <c r="G131" s="174">
        <v>520</v>
      </c>
      <c r="H131" s="166" t="s">
        <v>140</v>
      </c>
      <c r="I131" s="128">
        <v>699.05</v>
      </c>
      <c r="J131" s="171" t="s">
        <v>220</v>
      </c>
    </row>
    <row r="132" spans="1:10" ht="12.5" x14ac:dyDescent="0.35">
      <c r="A132" s="17">
        <v>44</v>
      </c>
      <c r="B132" s="18">
        <v>43493</v>
      </c>
      <c r="C132" s="126" t="str">
        <f>LOOKUP(B132,'HIDDEN DATA'!$A:$B,'HIDDEN DATA'!$C:$C)</f>
        <v>2018-2019</v>
      </c>
      <c r="D132" s="166" t="s">
        <v>148</v>
      </c>
      <c r="E132" s="127" t="e">
        <f>VLOOKUP(D132,'PLAN COMPTABLE'!$C:$D,2,0)</f>
        <v>#N/A</v>
      </c>
      <c r="F132" s="166" t="s">
        <v>139</v>
      </c>
      <c r="G132" s="174">
        <v>521</v>
      </c>
      <c r="H132" s="166" t="s">
        <v>140</v>
      </c>
      <c r="I132" s="128">
        <v>50</v>
      </c>
      <c r="J132" s="171" t="s">
        <v>163</v>
      </c>
    </row>
    <row r="133" spans="1:10" ht="12.5" x14ac:dyDescent="0.35">
      <c r="A133" s="17">
        <v>45</v>
      </c>
      <c r="B133" s="18">
        <v>43500</v>
      </c>
      <c r="C133" s="126" t="str">
        <f>LOOKUP(B133,'HIDDEN DATA'!$A:$B,'HIDDEN DATA'!$C:$C)</f>
        <v>2018-2019</v>
      </c>
      <c r="D133" s="166" t="s">
        <v>148</v>
      </c>
      <c r="E133" s="127" t="e">
        <f>VLOOKUP(D133,'PLAN COMPTABLE'!$C:$D,2,0)</f>
        <v>#N/A</v>
      </c>
      <c r="F133" s="166" t="s">
        <v>139</v>
      </c>
      <c r="G133" s="19">
        <v>522</v>
      </c>
      <c r="H133" s="166" t="s">
        <v>140</v>
      </c>
      <c r="I133" s="128">
        <v>250</v>
      </c>
      <c r="J133" s="171" t="s">
        <v>217</v>
      </c>
    </row>
    <row r="134" spans="1:10" ht="12.5" x14ac:dyDescent="0.35">
      <c r="A134" s="17">
        <v>46</v>
      </c>
      <c r="B134" s="18">
        <v>43500</v>
      </c>
      <c r="C134" s="126" t="str">
        <f>LOOKUP(B134,'HIDDEN DATA'!$A:$B,'HIDDEN DATA'!$C:$C)</f>
        <v>2018-2019</v>
      </c>
      <c r="D134" s="166" t="s">
        <v>148</v>
      </c>
      <c r="E134" s="127" t="e">
        <f>VLOOKUP(D134,'PLAN COMPTABLE'!$C:$D,2,0)</f>
        <v>#N/A</v>
      </c>
      <c r="F134" s="166" t="s">
        <v>139</v>
      </c>
      <c r="G134" s="19">
        <v>523</v>
      </c>
      <c r="H134" s="166" t="s">
        <v>140</v>
      </c>
      <c r="I134" s="128">
        <v>195.57</v>
      </c>
      <c r="J134" s="171" t="s">
        <v>217</v>
      </c>
    </row>
    <row r="135" spans="1:10" ht="12.5" x14ac:dyDescent="0.35">
      <c r="A135" s="17">
        <v>47</v>
      </c>
      <c r="B135" s="18">
        <v>43500</v>
      </c>
      <c r="C135" s="126" t="str">
        <f>LOOKUP(B135,'HIDDEN DATA'!$A:$B,'HIDDEN DATA'!$C:$C)</f>
        <v>2018-2019</v>
      </c>
      <c r="D135" s="166" t="s">
        <v>221</v>
      </c>
      <c r="E135" s="127" t="e">
        <f>VLOOKUP(D135,'PLAN COMPTABLE'!$C:$D,2,0)</f>
        <v>#N/A</v>
      </c>
      <c r="F135" s="166" t="s">
        <v>139</v>
      </c>
      <c r="G135" s="174">
        <v>524</v>
      </c>
      <c r="H135" s="166" t="s">
        <v>140</v>
      </c>
      <c r="I135" s="128">
        <v>300</v>
      </c>
      <c r="J135" s="171" t="s">
        <v>222</v>
      </c>
    </row>
    <row r="136" spans="1:10" ht="12.5" x14ac:dyDescent="0.35">
      <c r="A136" s="17">
        <v>48</v>
      </c>
      <c r="B136" s="18">
        <v>43502</v>
      </c>
      <c r="C136" s="126" t="str">
        <f>LOOKUP(B136,'HIDDEN DATA'!$A:$B,'HIDDEN DATA'!$C:$C)</f>
        <v>2018-2019</v>
      </c>
      <c r="D136" s="166" t="s">
        <v>85</v>
      </c>
      <c r="E136" s="127" t="str">
        <f>VLOOKUP(D136,'PLAN COMPTABLE'!$C:$D,2,0)</f>
        <v>Charge</v>
      </c>
      <c r="F136" s="166" t="s">
        <v>139</v>
      </c>
      <c r="G136" s="19">
        <v>525</v>
      </c>
      <c r="H136" s="166" t="s">
        <v>140</v>
      </c>
      <c r="I136" s="128">
        <v>78.040000000000006</v>
      </c>
      <c r="J136" s="171" t="s">
        <v>212</v>
      </c>
    </row>
    <row r="137" spans="1:10" ht="12.5" x14ac:dyDescent="0.35">
      <c r="A137" s="17">
        <v>49</v>
      </c>
      <c r="B137" s="18">
        <v>43502</v>
      </c>
      <c r="C137" s="126" t="str">
        <f>LOOKUP(B137,'HIDDEN DATA'!$A:$B,'HIDDEN DATA'!$C:$C)</f>
        <v>2018-2019</v>
      </c>
      <c r="D137" s="166" t="s">
        <v>85</v>
      </c>
      <c r="E137" s="127" t="str">
        <f>VLOOKUP(D137,'PLAN COMPTABLE'!$C:$D,2,0)</f>
        <v>Charge</v>
      </c>
      <c r="F137" s="166" t="s">
        <v>139</v>
      </c>
      <c r="G137" s="19">
        <v>526</v>
      </c>
      <c r="H137" s="166" t="s">
        <v>140</v>
      </c>
      <c r="I137" s="128">
        <v>149.81</v>
      </c>
      <c r="J137" s="171" t="s">
        <v>212</v>
      </c>
    </row>
    <row r="138" spans="1:10" ht="12.5" x14ac:dyDescent="0.35">
      <c r="A138" s="17">
        <v>50</v>
      </c>
      <c r="B138" s="18">
        <v>43504</v>
      </c>
      <c r="C138" s="126" t="str">
        <f>LOOKUP(B138,'HIDDEN DATA'!$A:$B,'HIDDEN DATA'!$C:$C)</f>
        <v>2018-2019</v>
      </c>
      <c r="D138" s="166" t="s">
        <v>146</v>
      </c>
      <c r="E138" s="127" t="str">
        <f>VLOOKUP(D138,'PLAN COMPTABLE'!$C:$D,2,0)</f>
        <v>Charge</v>
      </c>
      <c r="F138" s="166" t="s">
        <v>139</v>
      </c>
      <c r="G138" s="19">
        <v>527</v>
      </c>
      <c r="H138" s="166" t="s">
        <v>140</v>
      </c>
      <c r="I138" s="128">
        <v>18.399999999999999</v>
      </c>
      <c r="J138" s="171" t="s">
        <v>211</v>
      </c>
    </row>
    <row r="139" spans="1:10" ht="12.5" x14ac:dyDescent="0.35">
      <c r="A139" s="17">
        <v>51</v>
      </c>
      <c r="B139" s="18">
        <v>43504</v>
      </c>
      <c r="C139" s="126" t="str">
        <f>LOOKUP(B139,'HIDDEN DATA'!$A:$B,'HIDDEN DATA'!$C:$C)</f>
        <v>2018-2019</v>
      </c>
      <c r="D139" s="166" t="s">
        <v>148</v>
      </c>
      <c r="E139" s="127" t="e">
        <f>VLOOKUP(D139,'PLAN COMPTABLE'!$C:$D,2,0)</f>
        <v>#N/A</v>
      </c>
      <c r="F139" s="166" t="s">
        <v>139</v>
      </c>
      <c r="G139" s="19">
        <v>528</v>
      </c>
      <c r="H139" s="166" t="s">
        <v>140</v>
      </c>
      <c r="I139" s="128">
        <v>29.38</v>
      </c>
      <c r="J139" s="171" t="s">
        <v>150</v>
      </c>
    </row>
    <row r="140" spans="1:10" ht="12.5" x14ac:dyDescent="0.35">
      <c r="A140" s="17">
        <v>52</v>
      </c>
      <c r="B140" s="18">
        <v>43504</v>
      </c>
      <c r="C140" s="126" t="str">
        <f>LOOKUP(B140,'HIDDEN DATA'!$A:$B,'HIDDEN DATA'!$C:$C)</f>
        <v>2018-2019</v>
      </c>
      <c r="D140" s="166" t="s">
        <v>148</v>
      </c>
      <c r="E140" s="127" t="e">
        <f>VLOOKUP(D140,'PLAN COMPTABLE'!$C:$D,2,0)</f>
        <v>#N/A</v>
      </c>
      <c r="F140" s="166" t="s">
        <v>139</v>
      </c>
      <c r="G140" s="19">
        <v>529</v>
      </c>
      <c r="H140" s="166" t="s">
        <v>140</v>
      </c>
      <c r="I140" s="128">
        <v>29.89</v>
      </c>
      <c r="J140" s="171" t="s">
        <v>150</v>
      </c>
    </row>
    <row r="141" spans="1:10" ht="12.5" x14ac:dyDescent="0.35">
      <c r="A141" s="17">
        <v>53</v>
      </c>
      <c r="B141" s="18">
        <v>43504</v>
      </c>
      <c r="C141" s="126" t="str">
        <f>LOOKUP(B141,'HIDDEN DATA'!$A:$B,'HIDDEN DATA'!$C:$C)</f>
        <v>2018-2019</v>
      </c>
      <c r="D141" s="166" t="s">
        <v>148</v>
      </c>
      <c r="E141" s="127" t="e">
        <f>VLOOKUP(D141,'PLAN COMPTABLE'!$C:$D,2,0)</f>
        <v>#N/A</v>
      </c>
      <c r="F141" s="166" t="s">
        <v>139</v>
      </c>
      <c r="G141" s="19">
        <v>530</v>
      </c>
      <c r="H141" s="166" t="s">
        <v>140</v>
      </c>
      <c r="I141" s="128">
        <v>31.25</v>
      </c>
      <c r="J141" s="171" t="s">
        <v>150</v>
      </c>
    </row>
    <row r="142" spans="1:10" ht="12.5" x14ac:dyDescent="0.35">
      <c r="A142" s="17">
        <v>54</v>
      </c>
      <c r="B142" s="18">
        <v>43507</v>
      </c>
      <c r="C142" s="126" t="str">
        <f>LOOKUP(B142,'HIDDEN DATA'!$A:$B,'HIDDEN DATA'!$C:$C)</f>
        <v>2018-2019</v>
      </c>
      <c r="D142" s="166" t="s">
        <v>85</v>
      </c>
      <c r="E142" s="127" t="str">
        <f>VLOOKUP(D142,'PLAN COMPTABLE'!$C:$D,2,0)</f>
        <v>Charge</v>
      </c>
      <c r="F142" s="166" t="s">
        <v>139</v>
      </c>
      <c r="G142" s="19">
        <v>531</v>
      </c>
      <c r="H142" s="166" t="s">
        <v>140</v>
      </c>
      <c r="I142" s="128">
        <v>282.14999999999998</v>
      </c>
      <c r="J142" s="171" t="s">
        <v>208</v>
      </c>
    </row>
    <row r="143" spans="1:10" ht="12.5" x14ac:dyDescent="0.35">
      <c r="A143" s="17">
        <v>55</v>
      </c>
      <c r="B143" s="18">
        <v>43509</v>
      </c>
      <c r="C143" s="126" t="str">
        <f>LOOKUP(B143,'HIDDEN DATA'!$A:$B,'HIDDEN DATA'!$C:$C)</f>
        <v>2018-2019</v>
      </c>
      <c r="D143" s="166" t="s">
        <v>171</v>
      </c>
      <c r="E143" s="127" t="str">
        <f>VLOOKUP(D143,'PLAN COMPTABLE'!$C:$D,2,0)</f>
        <v>Produit</v>
      </c>
      <c r="F143" s="166" t="s">
        <v>172</v>
      </c>
      <c r="G143" s="19"/>
      <c r="H143" s="166" t="s">
        <v>140</v>
      </c>
      <c r="I143" s="128">
        <v>2502.65</v>
      </c>
      <c r="J143" s="171" t="s">
        <v>223</v>
      </c>
    </row>
    <row r="144" spans="1:10" ht="12.5" x14ac:dyDescent="0.35">
      <c r="A144" s="17">
        <v>56</v>
      </c>
      <c r="B144" s="18">
        <v>43509</v>
      </c>
      <c r="C144" s="126" t="str">
        <f>LOOKUP(B144,'HIDDEN DATA'!$A:$B,'HIDDEN DATA'!$C:$C)</f>
        <v>2018-2019</v>
      </c>
      <c r="D144" s="166" t="s">
        <v>167</v>
      </c>
      <c r="E144" s="127" t="str">
        <f>VLOOKUP(D144,'PLAN COMPTABLE'!$C:$D,2,0)</f>
        <v>Produit</v>
      </c>
      <c r="F144" s="166" t="s">
        <v>139</v>
      </c>
      <c r="G144" s="19">
        <v>995276</v>
      </c>
      <c r="H144" s="166" t="s">
        <v>140</v>
      </c>
      <c r="I144" s="128">
        <v>1933.5</v>
      </c>
      <c r="J144" s="171" t="s">
        <v>168</v>
      </c>
    </row>
    <row r="145" spans="1:10" ht="12.5" x14ac:dyDescent="0.35">
      <c r="A145" s="17">
        <v>57</v>
      </c>
      <c r="B145" s="18">
        <v>43509</v>
      </c>
      <c r="C145" s="126" t="str">
        <f>LOOKUP(B145,'HIDDEN DATA'!$A:$B,'HIDDEN DATA'!$C:$C)</f>
        <v>2018-2019</v>
      </c>
      <c r="D145" s="166" t="s">
        <v>170</v>
      </c>
      <c r="E145" s="127" t="str">
        <f>VLOOKUP(D145,'PLAN COMPTABLE'!$C:$D,2,0)</f>
        <v>Produit</v>
      </c>
      <c r="F145" s="166" t="s">
        <v>139</v>
      </c>
      <c r="G145" s="19">
        <v>995276</v>
      </c>
      <c r="H145" s="166" t="s">
        <v>140</v>
      </c>
      <c r="I145" s="128">
        <v>120</v>
      </c>
      <c r="J145" s="171" t="s">
        <v>168</v>
      </c>
    </row>
    <row r="146" spans="1:10" ht="12.5" x14ac:dyDescent="0.35">
      <c r="A146" s="17">
        <v>58</v>
      </c>
      <c r="B146" s="18">
        <v>43509</v>
      </c>
      <c r="C146" s="126" t="str">
        <f>LOOKUP(B146,'HIDDEN DATA'!$A:$B,'HIDDEN DATA'!$C:$C)</f>
        <v>2018-2019</v>
      </c>
      <c r="D146" s="166" t="s">
        <v>174</v>
      </c>
      <c r="E146" s="127" t="str">
        <f>VLOOKUP(D146,'PLAN COMPTABLE'!$C:$D,2,0)</f>
        <v>Produit</v>
      </c>
      <c r="F146" s="166" t="s">
        <v>139</v>
      </c>
      <c r="G146" s="19">
        <v>995277</v>
      </c>
      <c r="H146" s="166" t="s">
        <v>140</v>
      </c>
      <c r="I146" s="128">
        <v>2179.5</v>
      </c>
      <c r="J146" s="171" t="s">
        <v>168</v>
      </c>
    </row>
    <row r="147" spans="1:10" ht="12.5" x14ac:dyDescent="0.35">
      <c r="A147" s="17">
        <v>59</v>
      </c>
      <c r="B147" s="18">
        <v>43509</v>
      </c>
      <c r="C147" s="126" t="str">
        <f>LOOKUP(B147,'HIDDEN DATA'!$A:$B,'HIDDEN DATA'!$C:$C)</f>
        <v>2018-2019</v>
      </c>
      <c r="D147" s="166" t="s">
        <v>165</v>
      </c>
      <c r="E147" s="127" t="str">
        <f>VLOOKUP(D147,'PLAN COMPTABLE'!$C:$D,2,0)</f>
        <v>Produit</v>
      </c>
      <c r="F147" s="166" t="s">
        <v>139</v>
      </c>
      <c r="G147" s="19">
        <v>986012</v>
      </c>
      <c r="H147" s="166" t="s">
        <v>140</v>
      </c>
      <c r="I147" s="128">
        <v>300</v>
      </c>
      <c r="J147" s="171" t="s">
        <v>168</v>
      </c>
    </row>
    <row r="148" spans="1:10" ht="12.5" x14ac:dyDescent="0.35">
      <c r="A148" s="17">
        <v>60</v>
      </c>
      <c r="B148" s="18">
        <v>43509</v>
      </c>
      <c r="C148" s="126" t="str">
        <f>LOOKUP(B148,'HIDDEN DATA'!$A:$B,'HIDDEN DATA'!$C:$C)</f>
        <v>2018-2019</v>
      </c>
      <c r="D148" s="166" t="s">
        <v>201</v>
      </c>
      <c r="E148" s="127" t="e">
        <f>VLOOKUP(D148,'PLAN COMPTABLE'!$C:$D,2,0)</f>
        <v>#N/A</v>
      </c>
      <c r="F148" s="166" t="s">
        <v>139</v>
      </c>
      <c r="G148" s="174">
        <v>532</v>
      </c>
      <c r="H148" s="166" t="s">
        <v>140</v>
      </c>
      <c r="I148" s="128">
        <v>300</v>
      </c>
      <c r="J148" s="171" t="s">
        <v>202</v>
      </c>
    </row>
    <row r="149" spans="1:10" ht="12.5" x14ac:dyDescent="0.35">
      <c r="A149" s="17">
        <v>61</v>
      </c>
      <c r="B149" s="18">
        <v>43509</v>
      </c>
      <c r="C149" s="126" t="str">
        <f>LOOKUP(B149,'HIDDEN DATA'!$A:$B,'HIDDEN DATA'!$C:$C)</f>
        <v>2018-2019</v>
      </c>
      <c r="D149" s="166" t="s">
        <v>165</v>
      </c>
      <c r="E149" s="127" t="str">
        <f>VLOOKUP(D149,'PLAN COMPTABLE'!$C:$D,2,0)</f>
        <v>Produit</v>
      </c>
      <c r="F149" s="166" t="s">
        <v>139</v>
      </c>
      <c r="G149" s="19">
        <v>1</v>
      </c>
      <c r="H149" s="166" t="s">
        <v>140</v>
      </c>
      <c r="I149" s="128">
        <v>600</v>
      </c>
      <c r="J149" s="171" t="s">
        <v>166</v>
      </c>
    </row>
    <row r="150" spans="1:10" ht="12.5" x14ac:dyDescent="0.35">
      <c r="A150" s="17">
        <v>62</v>
      </c>
      <c r="B150" s="18">
        <v>43510</v>
      </c>
      <c r="C150" s="126" t="str">
        <f>LOOKUP(B150,'HIDDEN DATA'!$A:$B,'HIDDEN DATA'!$C:$C)</f>
        <v>2018-2019</v>
      </c>
      <c r="D150" s="166" t="s">
        <v>143</v>
      </c>
      <c r="E150" s="127" t="str">
        <f>VLOOKUP(D150,'PLAN COMPTABLE'!$C:$D,2,0)</f>
        <v>Charge</v>
      </c>
      <c r="F150" s="166" t="s">
        <v>139</v>
      </c>
      <c r="G150" s="19">
        <v>533</v>
      </c>
      <c r="H150" s="166" t="s">
        <v>140</v>
      </c>
      <c r="I150" s="128">
        <v>6.88</v>
      </c>
      <c r="J150" s="171" t="s">
        <v>207</v>
      </c>
    </row>
    <row r="151" spans="1:10" ht="12.5" x14ac:dyDescent="0.35">
      <c r="A151" s="17">
        <v>63</v>
      </c>
      <c r="B151" s="18">
        <v>43510</v>
      </c>
      <c r="C151" s="126" t="str">
        <f>LOOKUP(B151,'HIDDEN DATA'!$A:$B,'HIDDEN DATA'!$C:$C)</f>
        <v>2018-2019</v>
      </c>
      <c r="D151" s="166" t="s">
        <v>157</v>
      </c>
      <c r="E151" s="127" t="str">
        <f>VLOOKUP(D151,'PLAN COMPTABLE'!$C:$D,2,0)</f>
        <v>Charge</v>
      </c>
      <c r="F151" s="166" t="s">
        <v>139</v>
      </c>
      <c r="G151" s="19">
        <v>534</v>
      </c>
      <c r="H151" s="166" t="s">
        <v>140</v>
      </c>
      <c r="I151" s="128">
        <v>1550</v>
      </c>
      <c r="J151" s="171" t="s">
        <v>158</v>
      </c>
    </row>
    <row r="152" spans="1:10" ht="12.5" x14ac:dyDescent="0.35">
      <c r="A152" s="17">
        <v>64</v>
      </c>
      <c r="B152" s="18">
        <v>43521</v>
      </c>
      <c r="C152" s="126" t="str">
        <f>LOOKUP(B152,'HIDDEN DATA'!$A:$B,'HIDDEN DATA'!$C:$C)</f>
        <v>2018-2019</v>
      </c>
      <c r="D152" s="166" t="s">
        <v>177</v>
      </c>
      <c r="E152" s="127" t="str">
        <f>VLOOKUP(D152,'PLAN COMPTABLE'!$C:$D,2,0)</f>
        <v>Charge</v>
      </c>
      <c r="F152" s="166" t="s">
        <v>139</v>
      </c>
      <c r="G152" s="19">
        <v>535</v>
      </c>
      <c r="H152" s="166" t="s">
        <v>140</v>
      </c>
      <c r="I152" s="128">
        <v>2.88</v>
      </c>
      <c r="J152" s="171" t="s">
        <v>207</v>
      </c>
    </row>
    <row r="153" spans="1:10" ht="12.5" x14ac:dyDescent="0.35">
      <c r="A153" s="17">
        <v>65</v>
      </c>
      <c r="B153" s="18">
        <v>43537</v>
      </c>
      <c r="C153" s="126" t="str">
        <f>LOOKUP(B153,'HIDDEN DATA'!$A:$B,'HIDDEN DATA'!$C:$C)</f>
        <v>2018-2019</v>
      </c>
      <c r="D153" s="166" t="s">
        <v>180</v>
      </c>
      <c r="E153" s="127" t="str">
        <f>VLOOKUP(D153,'PLAN COMPTABLE'!$C:$D,2,0)</f>
        <v>Charge</v>
      </c>
      <c r="F153" s="166" t="s">
        <v>139</v>
      </c>
      <c r="G153" s="19">
        <v>536</v>
      </c>
      <c r="H153" s="166" t="s">
        <v>140</v>
      </c>
      <c r="I153" s="128">
        <v>40</v>
      </c>
      <c r="J153" s="171" t="s">
        <v>224</v>
      </c>
    </row>
    <row r="154" spans="1:10" ht="12.5" x14ac:dyDescent="0.35">
      <c r="A154" s="17">
        <v>66</v>
      </c>
      <c r="B154" s="18">
        <v>43537</v>
      </c>
      <c r="C154" s="126" t="str">
        <f>LOOKUP(B154,'HIDDEN DATA'!$A:$B,'HIDDEN DATA'!$C:$C)</f>
        <v>2018-2019</v>
      </c>
      <c r="D154" s="166" t="s">
        <v>180</v>
      </c>
      <c r="E154" s="127" t="str">
        <f>VLOOKUP(D154,'PLAN COMPTABLE'!$C:$D,2,0)</f>
        <v>Charge</v>
      </c>
      <c r="F154" s="166" t="s">
        <v>139</v>
      </c>
      <c r="G154" s="19">
        <v>537</v>
      </c>
      <c r="H154" s="166" t="s">
        <v>140</v>
      </c>
      <c r="I154" s="128">
        <v>162.44999999999999</v>
      </c>
      <c r="J154" s="171" t="s">
        <v>161</v>
      </c>
    </row>
    <row r="155" spans="1:10" ht="12.5" x14ac:dyDescent="0.35">
      <c r="A155" s="17">
        <v>67</v>
      </c>
      <c r="B155" s="18">
        <v>43542</v>
      </c>
      <c r="C155" s="126" t="str">
        <f>LOOKUP(B155,'HIDDEN DATA'!$A:$B,'HIDDEN DATA'!$C:$C)</f>
        <v>2018-2019</v>
      </c>
      <c r="D155" s="166" t="s">
        <v>148</v>
      </c>
      <c r="E155" s="127" t="e">
        <f>VLOOKUP(D155,'PLAN COMPTABLE'!$C:$D,2,0)</f>
        <v>#N/A</v>
      </c>
      <c r="F155" s="166" t="s">
        <v>139</v>
      </c>
      <c r="G155" s="19">
        <v>538</v>
      </c>
      <c r="H155" s="166" t="s">
        <v>140</v>
      </c>
      <c r="I155" s="128">
        <v>9.6300000000000008</v>
      </c>
      <c r="J155" s="171" t="s">
        <v>217</v>
      </c>
    </row>
    <row r="156" spans="1:10" ht="12.5" x14ac:dyDescent="0.35">
      <c r="A156" s="17">
        <v>68</v>
      </c>
      <c r="B156" s="18">
        <v>43542</v>
      </c>
      <c r="C156" s="126" t="str">
        <f>LOOKUP(B156,'HIDDEN DATA'!$A:$B,'HIDDEN DATA'!$C:$C)</f>
        <v>2018-2019</v>
      </c>
      <c r="D156" s="166" t="s">
        <v>148</v>
      </c>
      <c r="E156" s="127" t="e">
        <f>VLOOKUP(D156,'PLAN COMPTABLE'!$C:$D,2,0)</f>
        <v>#N/A</v>
      </c>
      <c r="F156" s="166" t="s">
        <v>139</v>
      </c>
      <c r="G156" s="19">
        <v>539</v>
      </c>
      <c r="H156" s="166" t="s">
        <v>140</v>
      </c>
      <c r="I156" s="128">
        <v>36</v>
      </c>
      <c r="J156" s="171" t="s">
        <v>163</v>
      </c>
    </row>
    <row r="157" spans="1:10" ht="12.5" x14ac:dyDescent="0.35">
      <c r="A157" s="17">
        <v>69</v>
      </c>
      <c r="B157" s="18">
        <v>43542</v>
      </c>
      <c r="C157" s="126" t="str">
        <f>LOOKUP(B157,'HIDDEN DATA'!$A:$B,'HIDDEN DATA'!$C:$C)</f>
        <v>2018-2019</v>
      </c>
      <c r="D157" s="166" t="s">
        <v>148</v>
      </c>
      <c r="E157" s="127" t="e">
        <f>VLOOKUP(D157,'PLAN COMPTABLE'!$C:$D,2,0)</f>
        <v>#N/A</v>
      </c>
      <c r="F157" s="166" t="s">
        <v>139</v>
      </c>
      <c r="G157" s="19">
        <v>540</v>
      </c>
      <c r="H157" s="166" t="s">
        <v>140</v>
      </c>
      <c r="I157" s="128">
        <v>70.510000000000005</v>
      </c>
      <c r="J157" s="171" t="s">
        <v>225</v>
      </c>
    </row>
    <row r="158" spans="1:10" ht="12.5" x14ac:dyDescent="0.35">
      <c r="A158" s="17">
        <v>70</v>
      </c>
      <c r="B158" s="18">
        <v>43543</v>
      </c>
      <c r="C158" s="126" t="str">
        <f>LOOKUP(B158,'HIDDEN DATA'!$A:$B,'HIDDEN DATA'!$C:$C)</f>
        <v>2018-2019</v>
      </c>
      <c r="D158" s="166" t="s">
        <v>143</v>
      </c>
      <c r="E158" s="127" t="str">
        <f>VLOOKUP(D158,'PLAN COMPTABLE'!$C:$D,2,0)</f>
        <v>Charge</v>
      </c>
      <c r="F158" s="166" t="s">
        <v>139</v>
      </c>
      <c r="G158" s="19">
        <v>541</v>
      </c>
      <c r="H158" s="166" t="s">
        <v>140</v>
      </c>
      <c r="I158" s="128">
        <v>50</v>
      </c>
      <c r="J158" s="171" t="s">
        <v>210</v>
      </c>
    </row>
    <row r="159" spans="1:10" ht="12.5" x14ac:dyDescent="0.35">
      <c r="A159" s="17">
        <v>71</v>
      </c>
      <c r="B159" s="18">
        <v>43543</v>
      </c>
      <c r="C159" s="126" t="str">
        <f>LOOKUP(B159,'HIDDEN DATA'!$A:$B,'HIDDEN DATA'!$C:$C)</f>
        <v>2018-2019</v>
      </c>
      <c r="D159" s="166" t="s">
        <v>183</v>
      </c>
      <c r="E159" s="127" t="str">
        <f>VLOOKUP(D159,'PLAN COMPTABLE'!$C:$D,2,0)</f>
        <v>Charge</v>
      </c>
      <c r="F159" s="166" t="s">
        <v>139</v>
      </c>
      <c r="G159" s="19">
        <v>542</v>
      </c>
      <c r="H159" s="166" t="s">
        <v>140</v>
      </c>
      <c r="I159" s="128">
        <v>12.42</v>
      </c>
      <c r="J159" s="171" t="s">
        <v>210</v>
      </c>
    </row>
    <row r="160" spans="1:10" ht="12.5" x14ac:dyDescent="0.35">
      <c r="A160" s="17">
        <v>72</v>
      </c>
      <c r="B160" s="18">
        <v>43552</v>
      </c>
      <c r="C160" s="126" t="str">
        <f>LOOKUP(B160,'HIDDEN DATA'!$A:$B,'HIDDEN DATA'!$C:$C)</f>
        <v>2018-2019</v>
      </c>
      <c r="D160" s="166" t="s">
        <v>183</v>
      </c>
      <c r="E160" s="127" t="str">
        <f>VLOOKUP(D160,'PLAN COMPTABLE'!$C:$D,2,0)</f>
        <v>Charge</v>
      </c>
      <c r="F160" s="166" t="s">
        <v>139</v>
      </c>
      <c r="G160" s="19">
        <v>543</v>
      </c>
      <c r="H160" s="166" t="s">
        <v>140</v>
      </c>
      <c r="I160" s="128">
        <v>40.6</v>
      </c>
      <c r="J160" s="171" t="s">
        <v>207</v>
      </c>
    </row>
    <row r="161" spans="1:10" ht="12.5" x14ac:dyDescent="0.35">
      <c r="A161" s="17">
        <v>73</v>
      </c>
      <c r="B161" s="18">
        <v>43552</v>
      </c>
      <c r="C161" s="126" t="str">
        <f>LOOKUP(B161,'HIDDEN DATA'!$A:$B,'HIDDEN DATA'!$C:$C)</f>
        <v>2018-2019</v>
      </c>
      <c r="D161" s="166" t="s">
        <v>183</v>
      </c>
      <c r="E161" s="127" t="str">
        <f>VLOOKUP(D161,'PLAN COMPTABLE'!$C:$D,2,0)</f>
        <v>Charge</v>
      </c>
      <c r="F161" s="166" t="s">
        <v>139</v>
      </c>
      <c r="G161" s="19">
        <v>544</v>
      </c>
      <c r="H161" s="166" t="s">
        <v>140</v>
      </c>
      <c r="I161" s="128">
        <v>429.72</v>
      </c>
      <c r="J161" s="171" t="s">
        <v>220</v>
      </c>
    </row>
    <row r="162" spans="1:10" ht="12.5" x14ac:dyDescent="0.35">
      <c r="A162" s="17">
        <v>74</v>
      </c>
      <c r="B162" s="18">
        <v>43553</v>
      </c>
      <c r="C162" s="126" t="str">
        <f>LOOKUP(B162,'HIDDEN DATA'!$A:$B,'HIDDEN DATA'!$C:$C)</f>
        <v>2018-2019</v>
      </c>
      <c r="D162" s="166" t="s">
        <v>156</v>
      </c>
      <c r="E162" s="127" t="str">
        <f>VLOOKUP(D162,'PLAN COMPTABLE'!$C:$D,2,0)</f>
        <v>Charge</v>
      </c>
      <c r="F162" s="166" t="s">
        <v>139</v>
      </c>
      <c r="G162" s="19">
        <v>545</v>
      </c>
      <c r="H162" s="166" t="s">
        <v>140</v>
      </c>
      <c r="I162" s="128">
        <v>93.58</v>
      </c>
      <c r="J162" s="171" t="s">
        <v>164</v>
      </c>
    </row>
    <row r="163" spans="1:10" ht="12.5" x14ac:dyDescent="0.35">
      <c r="A163" s="17">
        <v>75</v>
      </c>
      <c r="B163" s="18">
        <v>43553</v>
      </c>
      <c r="C163" s="126" t="str">
        <f>LOOKUP(B163,'HIDDEN DATA'!$A:$B,'HIDDEN DATA'!$C:$C)</f>
        <v>2018-2019</v>
      </c>
      <c r="D163" s="166" t="s">
        <v>183</v>
      </c>
      <c r="E163" s="127" t="str">
        <f>VLOOKUP(D163,'PLAN COMPTABLE'!$C:$D,2,0)</f>
        <v>Charge</v>
      </c>
      <c r="F163" s="166" t="s">
        <v>139</v>
      </c>
      <c r="G163" s="19">
        <v>546</v>
      </c>
      <c r="H163" s="166" t="s">
        <v>140</v>
      </c>
      <c r="I163" s="128">
        <v>168.44</v>
      </c>
      <c r="J163" s="171" t="s">
        <v>226</v>
      </c>
    </row>
    <row r="164" spans="1:10" ht="12.5" x14ac:dyDescent="0.35">
      <c r="A164" s="17">
        <v>76</v>
      </c>
      <c r="B164" s="18">
        <v>43553</v>
      </c>
      <c r="C164" s="126" t="str">
        <f>LOOKUP(B164,'HIDDEN DATA'!$A:$B,'HIDDEN DATA'!$C:$C)</f>
        <v>2018-2019</v>
      </c>
      <c r="D164" s="166" t="s">
        <v>183</v>
      </c>
      <c r="E164" s="127" t="str">
        <f>VLOOKUP(D164,'PLAN COMPTABLE'!$C:$D,2,0)</f>
        <v>Charge</v>
      </c>
      <c r="F164" s="166" t="s">
        <v>139</v>
      </c>
      <c r="G164" s="19">
        <v>547</v>
      </c>
      <c r="H164" s="166" t="s">
        <v>140</v>
      </c>
      <c r="I164" s="128">
        <v>40.6</v>
      </c>
      <c r="J164" s="171" t="s">
        <v>150</v>
      </c>
    </row>
    <row r="165" spans="1:10" ht="12.5" x14ac:dyDescent="0.35">
      <c r="A165" s="17">
        <v>77</v>
      </c>
      <c r="B165" s="18">
        <v>43558</v>
      </c>
      <c r="C165" s="126" t="str">
        <f>LOOKUP(B165,'HIDDEN DATA'!$A:$B,'HIDDEN DATA'!$C:$C)</f>
        <v>2018-2019</v>
      </c>
      <c r="D165" s="166" t="s">
        <v>165</v>
      </c>
      <c r="E165" s="127" t="str">
        <f>VLOOKUP(D165,'PLAN COMPTABLE'!$C:$D,2,0)</f>
        <v>Produit</v>
      </c>
      <c r="F165" s="166" t="s">
        <v>139</v>
      </c>
      <c r="G165" s="19">
        <v>1244</v>
      </c>
      <c r="H165" s="166" t="s">
        <v>140</v>
      </c>
      <c r="I165" s="128">
        <v>900</v>
      </c>
      <c r="J165" s="171" t="s">
        <v>227</v>
      </c>
    </row>
    <row r="166" spans="1:10" ht="12.5" x14ac:dyDescent="0.35">
      <c r="A166" s="17">
        <v>78</v>
      </c>
      <c r="B166" s="18">
        <v>43559</v>
      </c>
      <c r="C166" s="126" t="str">
        <f>LOOKUP(B166,'HIDDEN DATA'!$A:$B,'HIDDEN DATA'!$C:$C)</f>
        <v>2018-2019</v>
      </c>
      <c r="D166" s="166" t="s">
        <v>156</v>
      </c>
      <c r="E166" s="127" t="str">
        <f>VLOOKUP(D166,'PLAN COMPTABLE'!$C:$D,2,0)</f>
        <v>Charge</v>
      </c>
      <c r="F166" s="166" t="s">
        <v>139</v>
      </c>
      <c r="G166" s="19">
        <v>550</v>
      </c>
      <c r="H166" s="166" t="s">
        <v>140</v>
      </c>
      <c r="I166" s="128">
        <v>18.649999999999999</v>
      </c>
      <c r="J166" s="171" t="s">
        <v>207</v>
      </c>
    </row>
    <row r="167" spans="1:10" ht="12.5" x14ac:dyDescent="0.35">
      <c r="A167" s="17">
        <v>79</v>
      </c>
      <c r="B167" s="18">
        <v>43559</v>
      </c>
      <c r="C167" s="126" t="str">
        <f>LOOKUP(B167,'HIDDEN DATA'!$A:$B,'HIDDEN DATA'!$C:$C)</f>
        <v>2018-2019</v>
      </c>
      <c r="D167" s="166" t="s">
        <v>219</v>
      </c>
      <c r="E167" s="127" t="str">
        <f>VLOOKUP(D167,'PLAN COMPTABLE'!$C:$D,2,0)</f>
        <v>Charge</v>
      </c>
      <c r="F167" s="166" t="s">
        <v>139</v>
      </c>
      <c r="G167" s="19">
        <v>551</v>
      </c>
      <c r="H167" s="166" t="s">
        <v>140</v>
      </c>
      <c r="I167" s="128">
        <v>25.01</v>
      </c>
      <c r="J167" s="171" t="s">
        <v>207</v>
      </c>
    </row>
    <row r="168" spans="1:10" ht="12.5" x14ac:dyDescent="0.35">
      <c r="A168" s="17">
        <v>80</v>
      </c>
      <c r="B168" s="18">
        <v>43563</v>
      </c>
      <c r="C168" s="126" t="str">
        <f>LOOKUP(B168,'HIDDEN DATA'!$A:$B,'HIDDEN DATA'!$C:$C)</f>
        <v>2018-2019</v>
      </c>
      <c r="D168" s="166" t="s">
        <v>185</v>
      </c>
      <c r="E168" s="127" t="str">
        <f>VLOOKUP(D168,'PLAN COMPTABLE'!$C:$D,2,0)</f>
        <v>Charge</v>
      </c>
      <c r="F168" s="166" t="s">
        <v>139</v>
      </c>
      <c r="G168" s="19">
        <v>552</v>
      </c>
      <c r="H168" s="166" t="s">
        <v>140</v>
      </c>
      <c r="I168" s="128">
        <v>300</v>
      </c>
      <c r="J168" s="171" t="s">
        <v>228</v>
      </c>
    </row>
    <row r="169" spans="1:10" ht="12.5" x14ac:dyDescent="0.35">
      <c r="A169" s="17">
        <v>81</v>
      </c>
      <c r="B169" s="18">
        <v>43563</v>
      </c>
      <c r="C169" s="126" t="str">
        <f>LOOKUP(B169,'HIDDEN DATA'!$A:$B,'HIDDEN DATA'!$C:$C)</f>
        <v>2018-2019</v>
      </c>
      <c r="D169" s="166" t="s">
        <v>185</v>
      </c>
      <c r="E169" s="127" t="str">
        <f>VLOOKUP(D169,'PLAN COMPTABLE'!$C:$D,2,0)</f>
        <v>Charge</v>
      </c>
      <c r="F169" s="166" t="s">
        <v>139</v>
      </c>
      <c r="G169" s="19">
        <v>553</v>
      </c>
      <c r="H169" s="166" t="s">
        <v>140</v>
      </c>
      <c r="I169" s="128">
        <v>200</v>
      </c>
      <c r="J169" s="171" t="s">
        <v>229</v>
      </c>
    </row>
    <row r="170" spans="1:10" ht="12.5" x14ac:dyDescent="0.35">
      <c r="A170" s="17">
        <v>82</v>
      </c>
      <c r="B170" s="18">
        <v>43563</v>
      </c>
      <c r="C170" s="126" t="str">
        <f>LOOKUP(B170,'HIDDEN DATA'!$A:$B,'HIDDEN DATA'!$C:$C)</f>
        <v>2018-2019</v>
      </c>
      <c r="D170" s="166" t="s">
        <v>183</v>
      </c>
      <c r="E170" s="127" t="str">
        <f>VLOOKUP(D170,'PLAN COMPTABLE'!$C:$D,2,0)</f>
        <v>Charge</v>
      </c>
      <c r="F170" s="166" t="s">
        <v>139</v>
      </c>
      <c r="G170" s="19">
        <v>554</v>
      </c>
      <c r="H170" s="166" t="s">
        <v>140</v>
      </c>
      <c r="I170" s="128">
        <v>150</v>
      </c>
      <c r="J170" s="171" t="s">
        <v>230</v>
      </c>
    </row>
    <row r="171" spans="1:10" ht="12.5" x14ac:dyDescent="0.35">
      <c r="A171" s="17">
        <v>83</v>
      </c>
      <c r="B171" s="18">
        <v>43563</v>
      </c>
      <c r="C171" s="126" t="str">
        <f>LOOKUP(B171,'HIDDEN DATA'!$A:$B,'HIDDEN DATA'!$C:$C)</f>
        <v>2018-2019</v>
      </c>
      <c r="D171" s="166" t="s">
        <v>183</v>
      </c>
      <c r="E171" s="127" t="str">
        <f>VLOOKUP(D171,'PLAN COMPTABLE'!$C:$D,2,0)</f>
        <v>Charge</v>
      </c>
      <c r="F171" s="166" t="s">
        <v>139</v>
      </c>
      <c r="G171" s="19">
        <v>555</v>
      </c>
      <c r="H171" s="166" t="s">
        <v>140</v>
      </c>
      <c r="I171" s="128">
        <v>105.37</v>
      </c>
      <c r="J171" s="171" t="s">
        <v>210</v>
      </c>
    </row>
    <row r="172" spans="1:10" ht="12.5" x14ac:dyDescent="0.35">
      <c r="A172" s="17">
        <v>84</v>
      </c>
      <c r="B172" s="18">
        <v>43567</v>
      </c>
      <c r="C172" s="126" t="str">
        <f>LOOKUP(B172,'HIDDEN DATA'!$A:$B,'HIDDEN DATA'!$C:$C)</f>
        <v>2018-2019</v>
      </c>
      <c r="D172" s="166" t="s">
        <v>214</v>
      </c>
      <c r="E172" s="127" t="str">
        <f>VLOOKUP(D172,'PLAN COMPTABLE'!$C:$D,2,0)</f>
        <v>Charge</v>
      </c>
      <c r="F172" s="166" t="s">
        <v>139</v>
      </c>
      <c r="G172" s="19">
        <v>557</v>
      </c>
      <c r="H172" s="166" t="s">
        <v>140</v>
      </c>
      <c r="I172" s="128">
        <v>11.16</v>
      </c>
      <c r="J172" s="171" t="s">
        <v>161</v>
      </c>
    </row>
    <row r="173" spans="1:10" ht="12.5" x14ac:dyDescent="0.35">
      <c r="A173" s="17">
        <v>85</v>
      </c>
      <c r="B173" s="18">
        <v>43567</v>
      </c>
      <c r="C173" s="126" t="str">
        <f>LOOKUP(B173,'HIDDEN DATA'!$A:$B,'HIDDEN DATA'!$C:$C)</f>
        <v>2018-2019</v>
      </c>
      <c r="D173" s="166" t="s">
        <v>156</v>
      </c>
      <c r="E173" s="127" t="str">
        <f>VLOOKUP(D173,'PLAN COMPTABLE'!$C:$D,2,0)</f>
        <v>Charge</v>
      </c>
      <c r="F173" s="166" t="s">
        <v>139</v>
      </c>
      <c r="G173" s="19">
        <v>558</v>
      </c>
      <c r="H173" s="166" t="s">
        <v>140</v>
      </c>
      <c r="I173" s="128">
        <v>25.87</v>
      </c>
      <c r="J173" s="171" t="s">
        <v>161</v>
      </c>
    </row>
    <row r="174" spans="1:10" ht="12.5" x14ac:dyDescent="0.35">
      <c r="A174" s="17">
        <v>86</v>
      </c>
      <c r="B174" s="18">
        <v>43567</v>
      </c>
      <c r="C174" s="126" t="str">
        <f>LOOKUP(B174,'HIDDEN DATA'!$A:$B,'HIDDEN DATA'!$C:$C)</f>
        <v>2018-2019</v>
      </c>
      <c r="D174" s="166" t="s">
        <v>231</v>
      </c>
      <c r="E174" s="127" t="str">
        <f>VLOOKUP(D174,'PLAN COMPTABLE'!$C:$D,2,0)</f>
        <v>Charge</v>
      </c>
      <c r="F174" s="166" t="s">
        <v>139</v>
      </c>
      <c r="G174" s="19">
        <v>559</v>
      </c>
      <c r="H174" s="166" t="s">
        <v>140</v>
      </c>
      <c r="I174" s="128">
        <v>45</v>
      </c>
      <c r="J174" s="171" t="s">
        <v>232</v>
      </c>
    </row>
    <row r="175" spans="1:10" ht="12.5" x14ac:dyDescent="0.35">
      <c r="A175" s="17">
        <v>87</v>
      </c>
      <c r="B175" s="18">
        <v>43584</v>
      </c>
      <c r="C175" s="126" t="str">
        <f>LOOKUP(B175,'HIDDEN DATA'!$A:$B,'HIDDEN DATA'!$C:$C)</f>
        <v>2018-2019</v>
      </c>
      <c r="D175" s="166" t="s">
        <v>191</v>
      </c>
      <c r="E175" s="127" t="str">
        <f>VLOOKUP(D175,'PLAN COMPTABLE'!$C:$D,2,0)</f>
        <v>Charge</v>
      </c>
      <c r="F175" s="166" t="s">
        <v>139</v>
      </c>
      <c r="G175" s="19">
        <v>560</v>
      </c>
      <c r="H175" s="166" t="s">
        <v>140</v>
      </c>
      <c r="I175" s="128">
        <v>294.39999999999998</v>
      </c>
      <c r="J175" s="171" t="s">
        <v>208</v>
      </c>
    </row>
    <row r="176" spans="1:10" ht="12.5" x14ac:dyDescent="0.35">
      <c r="A176" s="17">
        <v>88</v>
      </c>
      <c r="B176" s="18">
        <v>43584</v>
      </c>
      <c r="C176" s="126" t="str">
        <f>LOOKUP(B176,'HIDDEN DATA'!$A:$B,'HIDDEN DATA'!$C:$C)</f>
        <v>2018-2019</v>
      </c>
      <c r="D176" s="166" t="s">
        <v>219</v>
      </c>
      <c r="E176" s="127" t="str">
        <f>VLOOKUP(D176,'PLAN COMPTABLE'!$C:$D,2,0)</f>
        <v>Charge</v>
      </c>
      <c r="F176" s="166" t="s">
        <v>139</v>
      </c>
      <c r="G176" s="19">
        <v>561</v>
      </c>
      <c r="H176" s="166" t="s">
        <v>140</v>
      </c>
      <c r="I176" s="128">
        <v>29.9</v>
      </c>
      <c r="J176" s="171" t="s">
        <v>208</v>
      </c>
    </row>
    <row r="177" spans="1:10" ht="12.5" x14ac:dyDescent="0.35">
      <c r="A177" s="17">
        <v>89</v>
      </c>
      <c r="B177" s="18">
        <v>43584</v>
      </c>
      <c r="C177" s="126" t="str">
        <f>LOOKUP(B177,'HIDDEN DATA'!$A:$B,'HIDDEN DATA'!$C:$C)</f>
        <v>2018-2019</v>
      </c>
      <c r="D177" s="166" t="s">
        <v>148</v>
      </c>
      <c r="E177" s="127" t="e">
        <f>VLOOKUP(D177,'PLAN COMPTABLE'!$C:$D,2,0)</f>
        <v>#N/A</v>
      </c>
      <c r="F177" s="166" t="s">
        <v>139</v>
      </c>
      <c r="G177" s="19">
        <v>562</v>
      </c>
      <c r="H177" s="166" t="s">
        <v>140</v>
      </c>
      <c r="I177" s="128">
        <v>80</v>
      </c>
      <c r="J177" s="171" t="s">
        <v>163</v>
      </c>
    </row>
    <row r="178" spans="1:10" ht="12.5" x14ac:dyDescent="0.35">
      <c r="A178" s="17">
        <v>90</v>
      </c>
      <c r="B178" s="18">
        <v>43584</v>
      </c>
      <c r="C178" s="126" t="str">
        <f>LOOKUP(B178,'HIDDEN DATA'!$A:$B,'HIDDEN DATA'!$C:$C)</f>
        <v>2018-2019</v>
      </c>
      <c r="D178" s="166" t="s">
        <v>148</v>
      </c>
      <c r="E178" s="127" t="e">
        <f>VLOOKUP(D178,'PLAN COMPTABLE'!$C:$D,2,0)</f>
        <v>#N/A</v>
      </c>
      <c r="F178" s="166" t="s">
        <v>139</v>
      </c>
      <c r="G178" s="19">
        <v>563</v>
      </c>
      <c r="H178" s="166" t="s">
        <v>140</v>
      </c>
      <c r="I178" s="128">
        <v>90.48</v>
      </c>
      <c r="J178" s="171" t="s">
        <v>233</v>
      </c>
    </row>
    <row r="179" spans="1:10" ht="12.5" x14ac:dyDescent="0.35">
      <c r="A179" s="17">
        <v>91</v>
      </c>
      <c r="B179" s="18">
        <v>43584</v>
      </c>
      <c r="C179" s="126" t="str">
        <f>LOOKUP(B179,'HIDDEN DATA'!$A:$B,'HIDDEN DATA'!$C:$C)</f>
        <v>2018-2019</v>
      </c>
      <c r="D179" s="166" t="s">
        <v>148</v>
      </c>
      <c r="E179" s="127" t="e">
        <f>VLOOKUP(D179,'PLAN COMPTABLE'!$C:$D,2,0)</f>
        <v>#N/A</v>
      </c>
      <c r="F179" s="166" t="s">
        <v>139</v>
      </c>
      <c r="G179" s="19">
        <v>564</v>
      </c>
      <c r="H179" s="166" t="s">
        <v>140</v>
      </c>
      <c r="I179" s="128">
        <v>9.7200000000000006</v>
      </c>
      <c r="J179" s="171" t="s">
        <v>234</v>
      </c>
    </row>
    <row r="180" spans="1:10" ht="12.5" x14ac:dyDescent="0.35">
      <c r="A180" s="17">
        <v>92</v>
      </c>
      <c r="B180" s="18">
        <v>43584</v>
      </c>
      <c r="C180" s="126" t="str">
        <f>LOOKUP(B180,'HIDDEN DATA'!$A:$B,'HIDDEN DATA'!$C:$C)</f>
        <v>2018-2019</v>
      </c>
      <c r="D180" s="166" t="s">
        <v>148</v>
      </c>
      <c r="E180" s="127" t="e">
        <f>VLOOKUP(D180,'PLAN COMPTABLE'!$C:$D,2,0)</f>
        <v>#N/A</v>
      </c>
      <c r="F180" s="166" t="s">
        <v>139</v>
      </c>
      <c r="G180" s="19">
        <v>565</v>
      </c>
      <c r="H180" s="166" t="s">
        <v>140</v>
      </c>
      <c r="I180" s="128">
        <v>49.89</v>
      </c>
      <c r="J180" s="171" t="s">
        <v>235</v>
      </c>
    </row>
    <row r="181" spans="1:10" ht="12.5" x14ac:dyDescent="0.35">
      <c r="A181" s="17">
        <v>93</v>
      </c>
      <c r="B181" s="18">
        <v>43620</v>
      </c>
      <c r="C181" s="126" t="str">
        <f>LOOKUP(B181,'HIDDEN DATA'!$A:$B,'HIDDEN DATA'!$C:$C)</f>
        <v>2018-2019</v>
      </c>
      <c r="D181" s="166" t="s">
        <v>148</v>
      </c>
      <c r="E181" s="127" t="e">
        <f>VLOOKUP(D181,'PLAN COMPTABLE'!$C:$D,2,0)</f>
        <v>#N/A</v>
      </c>
      <c r="F181" s="166" t="s">
        <v>139</v>
      </c>
      <c r="G181" s="19">
        <v>566</v>
      </c>
      <c r="H181" s="166" t="s">
        <v>140</v>
      </c>
      <c r="I181" s="128">
        <v>21.7</v>
      </c>
      <c r="J181" s="171" t="s">
        <v>235</v>
      </c>
    </row>
    <row r="182" spans="1:10" ht="12.5" x14ac:dyDescent="0.35">
      <c r="A182" s="17">
        <v>94</v>
      </c>
      <c r="B182" s="18">
        <v>43620</v>
      </c>
      <c r="C182" s="126" t="str">
        <f>LOOKUP(B182,'HIDDEN DATA'!$A:$B,'HIDDEN DATA'!$C:$C)</f>
        <v>2018-2019</v>
      </c>
      <c r="D182" s="166" t="s">
        <v>191</v>
      </c>
      <c r="E182" s="127" t="str">
        <f>VLOOKUP(D182,'PLAN COMPTABLE'!$C:$D,2,0)</f>
        <v>Charge</v>
      </c>
      <c r="F182" s="166" t="s">
        <v>139</v>
      </c>
      <c r="G182" s="19">
        <v>567</v>
      </c>
      <c r="H182" s="166" t="s">
        <v>140</v>
      </c>
      <c r="I182" s="128">
        <v>102</v>
      </c>
      <c r="J182" s="171" t="s">
        <v>208</v>
      </c>
    </row>
    <row r="183" spans="1:10" ht="12.5" x14ac:dyDescent="0.35">
      <c r="A183" s="17">
        <v>95</v>
      </c>
      <c r="B183" s="18">
        <v>43625</v>
      </c>
      <c r="C183" s="126" t="str">
        <f>LOOKUP(B183,'HIDDEN DATA'!$A:$B,'HIDDEN DATA'!$C:$C)</f>
        <v>2018-2019</v>
      </c>
      <c r="D183" s="166" t="s">
        <v>236</v>
      </c>
      <c r="E183" s="127" t="e">
        <f>VLOOKUP(D183,'PLAN COMPTABLE'!$C:$D,2,0)</f>
        <v>#N/A</v>
      </c>
      <c r="F183" s="166" t="s">
        <v>139</v>
      </c>
      <c r="G183" s="19">
        <v>568</v>
      </c>
      <c r="H183" s="166" t="s">
        <v>140</v>
      </c>
      <c r="I183" s="128">
        <v>30.48</v>
      </c>
      <c r="J183" s="171" t="s">
        <v>207</v>
      </c>
    </row>
    <row r="184" spans="1:10" ht="12.5" x14ac:dyDescent="0.35">
      <c r="A184" s="17">
        <v>96</v>
      </c>
      <c r="B184" s="18">
        <v>43693</v>
      </c>
      <c r="C184" s="126" t="str">
        <f>LOOKUP(B184,'HIDDEN DATA'!$A:$B,'HIDDEN DATA'!$C:$C)</f>
        <v>2018-2019</v>
      </c>
      <c r="D184" s="166" t="s">
        <v>165</v>
      </c>
      <c r="E184" s="127" t="str">
        <f>VLOOKUP(D184,'PLAN COMPTABLE'!$C:$D,2,0)</f>
        <v>Produit</v>
      </c>
      <c r="F184" s="166" t="s">
        <v>139</v>
      </c>
      <c r="G184" s="19">
        <v>81</v>
      </c>
      <c r="H184" s="166" t="s">
        <v>140</v>
      </c>
      <c r="I184" s="128">
        <v>347.15</v>
      </c>
      <c r="J184" s="171" t="s">
        <v>166</v>
      </c>
    </row>
    <row r="185" spans="1:10" ht="12.5" x14ac:dyDescent="0.35">
      <c r="A185" s="17">
        <v>97</v>
      </c>
      <c r="B185" s="18">
        <v>43699</v>
      </c>
      <c r="C185" s="126" t="str">
        <f>LOOKUP(B185,'HIDDEN DATA'!$A:$B,'HIDDEN DATA'!$C:$C)</f>
        <v>2018-2019</v>
      </c>
      <c r="D185" s="166" t="s">
        <v>174</v>
      </c>
      <c r="E185" s="127" t="str">
        <f>VLOOKUP(D185,'PLAN COMPTABLE'!$C:$D,2,0)</f>
        <v>Produit</v>
      </c>
      <c r="F185" s="166" t="s">
        <v>139</v>
      </c>
      <c r="G185" s="19">
        <v>1005999</v>
      </c>
      <c r="H185" s="166" t="s">
        <v>140</v>
      </c>
      <c r="I185" s="128">
        <v>1420.5</v>
      </c>
      <c r="J185" s="171" t="s">
        <v>168</v>
      </c>
    </row>
    <row r="186" spans="1:10" ht="12.5" x14ac:dyDescent="0.35">
      <c r="A186" s="17">
        <v>98</v>
      </c>
      <c r="B186" s="18">
        <v>43699</v>
      </c>
      <c r="C186" s="126" t="str">
        <f>LOOKUP(B186,'HIDDEN DATA'!$A:$B,'HIDDEN DATA'!$C:$C)</f>
        <v>2018-2019</v>
      </c>
      <c r="D186" s="166" t="s">
        <v>170</v>
      </c>
      <c r="E186" s="127" t="str">
        <f>VLOOKUP(D186,'PLAN COMPTABLE'!$C:$D,2,0)</f>
        <v>Produit</v>
      </c>
      <c r="F186" s="166" t="s">
        <v>139</v>
      </c>
      <c r="G186" s="19">
        <v>1005999</v>
      </c>
      <c r="H186" s="166" t="s">
        <v>140</v>
      </c>
      <c r="I186" s="128">
        <v>120</v>
      </c>
      <c r="J186" s="171" t="s">
        <v>168</v>
      </c>
    </row>
    <row r="187" spans="1:10" ht="12.5" x14ac:dyDescent="0.35">
      <c r="A187" s="17">
        <v>99</v>
      </c>
      <c r="B187" s="18">
        <v>43699</v>
      </c>
      <c r="C187" s="126" t="str">
        <f>LOOKUP(B187,'HIDDEN DATA'!$A:$B,'HIDDEN DATA'!$C:$C)</f>
        <v>2018-2019</v>
      </c>
      <c r="D187" s="166" t="s">
        <v>169</v>
      </c>
      <c r="E187" s="127" t="str">
        <f>VLOOKUP(D187,'PLAN COMPTABLE'!$C:$D,2,0)</f>
        <v>Produit</v>
      </c>
      <c r="F187" s="166" t="s">
        <v>139</v>
      </c>
      <c r="G187" s="19">
        <v>1006000</v>
      </c>
      <c r="H187" s="166" t="s">
        <v>140</v>
      </c>
      <c r="I187" s="128">
        <v>1302</v>
      </c>
      <c r="J187" s="171" t="s">
        <v>168</v>
      </c>
    </row>
    <row r="188" spans="1:10" ht="12.5" x14ac:dyDescent="0.35">
      <c r="A188" s="17">
        <v>100</v>
      </c>
      <c r="B188" s="18">
        <v>43707</v>
      </c>
      <c r="C188" s="126" t="str">
        <f>LOOKUP(B188,'HIDDEN DATA'!$A:$B,'HIDDEN DATA'!$C:$C)</f>
        <v>2018-2019</v>
      </c>
      <c r="D188" s="166" t="s">
        <v>237</v>
      </c>
      <c r="E188" s="127" t="str">
        <f>VLOOKUP(D188,'PLAN COMPTABLE'!$C:$D,2,0)</f>
        <v>Charge</v>
      </c>
      <c r="F188" s="166" t="s">
        <v>172</v>
      </c>
      <c r="G188" s="19"/>
      <c r="H188" s="166" t="s">
        <v>140</v>
      </c>
      <c r="I188" s="128">
        <v>95.15</v>
      </c>
      <c r="J188" s="171" t="s">
        <v>238</v>
      </c>
    </row>
    <row r="189" spans="1:10" ht="12.5" x14ac:dyDescent="0.35">
      <c r="A189" s="17">
        <v>101</v>
      </c>
      <c r="B189" s="18">
        <v>43707</v>
      </c>
      <c r="C189" s="126" t="str">
        <f>LOOKUP(B189,'HIDDEN DATA'!$A:$B,'HIDDEN DATA'!$C:$C)</f>
        <v>2018-2019</v>
      </c>
      <c r="D189" s="166" t="s">
        <v>204</v>
      </c>
      <c r="E189" s="127" t="str">
        <f>VLOOKUP(D189,'PLAN COMPTABLE'!$C:$D,2,0)</f>
        <v>Charge</v>
      </c>
      <c r="F189" s="166" t="s">
        <v>139</v>
      </c>
      <c r="G189" s="19">
        <v>569</v>
      </c>
      <c r="H189" s="166" t="s">
        <v>140</v>
      </c>
      <c r="I189" s="128">
        <v>44.95</v>
      </c>
      <c r="J189" s="171" t="s">
        <v>239</v>
      </c>
    </row>
    <row r="190" spans="1:10" ht="12.5" x14ac:dyDescent="0.35">
      <c r="A190" s="17">
        <v>102</v>
      </c>
      <c r="B190" s="18">
        <v>43707</v>
      </c>
      <c r="C190" s="126" t="str">
        <f>LOOKUP(B190,'HIDDEN DATA'!$A:$B,'HIDDEN DATA'!$C:$C)</f>
        <v>2018-2019</v>
      </c>
      <c r="D190" s="166" t="s">
        <v>204</v>
      </c>
      <c r="E190" s="127" t="str">
        <f>VLOOKUP(D190,'PLAN COMPTABLE'!$C:$D,2,0)</f>
        <v>Charge</v>
      </c>
      <c r="F190" s="166" t="s">
        <v>139</v>
      </c>
      <c r="G190" s="19">
        <v>570</v>
      </c>
      <c r="H190" s="166" t="s">
        <v>140</v>
      </c>
      <c r="I190" s="128">
        <v>107.19</v>
      </c>
      <c r="J190" s="171" t="s">
        <v>240</v>
      </c>
    </row>
    <row r="191" spans="1:10" ht="12.5" x14ac:dyDescent="0.35">
      <c r="A191" s="17">
        <v>103</v>
      </c>
      <c r="B191" s="18">
        <v>43707</v>
      </c>
      <c r="C191" s="126" t="str">
        <f>LOOKUP(B191,'HIDDEN DATA'!$A:$B,'HIDDEN DATA'!$C:$C)</f>
        <v>2018-2019</v>
      </c>
      <c r="D191" s="166" t="s">
        <v>204</v>
      </c>
      <c r="E191" s="127" t="str">
        <f>VLOOKUP(D191,'PLAN COMPTABLE'!$C:$D,2,0)</f>
        <v>Charge</v>
      </c>
      <c r="F191" s="166" t="s">
        <v>139</v>
      </c>
      <c r="G191" s="19">
        <v>571</v>
      </c>
      <c r="H191" s="166" t="s">
        <v>140</v>
      </c>
      <c r="I191" s="128">
        <v>124.79</v>
      </c>
      <c r="J191" s="171" t="s">
        <v>208</v>
      </c>
    </row>
    <row r="192" spans="1:10" ht="12.5" x14ac:dyDescent="0.35">
      <c r="A192" s="17">
        <v>104</v>
      </c>
      <c r="B192" s="18">
        <v>43746</v>
      </c>
      <c r="C192" s="126" t="str">
        <f>LOOKUP(B192,'HIDDEN DATA'!$A:$B,'HIDDEN DATA'!$C:$C)</f>
        <v>2019-2020</v>
      </c>
      <c r="D192" s="166" t="s">
        <v>165</v>
      </c>
      <c r="E192" s="127" t="str">
        <f>VLOOKUP(D192,'PLAN COMPTABLE'!$C:$D,2,0)</f>
        <v>Produit</v>
      </c>
      <c r="F192" s="166" t="s">
        <v>139</v>
      </c>
      <c r="G192" s="19">
        <v>14248</v>
      </c>
      <c r="H192" s="166" t="s">
        <v>140</v>
      </c>
      <c r="I192" s="128">
        <v>1000</v>
      </c>
      <c r="J192" s="171" t="s">
        <v>241</v>
      </c>
    </row>
    <row r="193" spans="1:10" ht="12.5" x14ac:dyDescent="0.35">
      <c r="A193" s="17">
        <v>105</v>
      </c>
      <c r="B193" s="18">
        <v>43746</v>
      </c>
      <c r="C193" s="126" t="str">
        <f>LOOKUP(B193,'HIDDEN DATA'!$A:$B,'HIDDEN DATA'!$C:$C)</f>
        <v>2019-2020</v>
      </c>
      <c r="D193" s="166" t="s">
        <v>148</v>
      </c>
      <c r="E193" s="127" t="e">
        <f>VLOOKUP(D193,'PLAN COMPTABLE'!$C:$D,2,0)</f>
        <v>#N/A</v>
      </c>
      <c r="F193" s="166" t="s">
        <v>139</v>
      </c>
      <c r="G193" s="19">
        <v>573</v>
      </c>
      <c r="H193" s="166" t="s">
        <v>140</v>
      </c>
      <c r="I193" s="128">
        <v>129.21</v>
      </c>
      <c r="J193" s="171" t="s">
        <v>217</v>
      </c>
    </row>
    <row r="194" spans="1:10" ht="12.5" x14ac:dyDescent="0.35">
      <c r="A194" s="17">
        <v>106</v>
      </c>
      <c r="B194" s="18">
        <v>43746</v>
      </c>
      <c r="C194" s="126" t="str">
        <f>LOOKUP(B194,'HIDDEN DATA'!$A:$B,'HIDDEN DATA'!$C:$C)</f>
        <v>2019-2020</v>
      </c>
      <c r="D194" s="166" t="s">
        <v>143</v>
      </c>
      <c r="E194" s="127" t="str">
        <f>VLOOKUP(D194,'PLAN COMPTABLE'!$C:$D,2,0)</f>
        <v>Charge</v>
      </c>
      <c r="F194" s="166" t="s">
        <v>139</v>
      </c>
      <c r="G194" s="19">
        <v>575</v>
      </c>
      <c r="H194" s="166" t="s">
        <v>140</v>
      </c>
      <c r="I194" s="128">
        <v>48</v>
      </c>
      <c r="J194" s="171" t="s">
        <v>242</v>
      </c>
    </row>
    <row r="195" spans="1:10" ht="12.5" x14ac:dyDescent="0.35">
      <c r="A195" s="17">
        <v>107</v>
      </c>
      <c r="B195" s="18">
        <v>43746</v>
      </c>
      <c r="C195" s="126" t="str">
        <f>LOOKUP(B195,'HIDDEN DATA'!$A:$B,'HIDDEN DATA'!$C:$C)</f>
        <v>2019-2020</v>
      </c>
      <c r="D195" s="166" t="s">
        <v>143</v>
      </c>
      <c r="E195" s="127" t="str">
        <f>VLOOKUP(D195,'PLAN COMPTABLE'!$C:$D,2,0)</f>
        <v>Charge</v>
      </c>
      <c r="F195" s="166" t="s">
        <v>139</v>
      </c>
      <c r="G195" s="19">
        <v>576</v>
      </c>
      <c r="H195" s="166" t="s">
        <v>140</v>
      </c>
      <c r="I195" s="128">
        <v>42</v>
      </c>
      <c r="J195" s="171" t="s">
        <v>242</v>
      </c>
    </row>
    <row r="196" spans="1:10" ht="12.5" x14ac:dyDescent="0.35">
      <c r="A196" s="17">
        <v>108</v>
      </c>
      <c r="B196" s="18">
        <v>43746</v>
      </c>
      <c r="C196" s="126" t="str">
        <f>LOOKUP(B196,'HIDDEN DATA'!$A:$B,'HIDDEN DATA'!$C:$C)</f>
        <v>2019-2020</v>
      </c>
      <c r="D196" s="166" t="s">
        <v>146</v>
      </c>
      <c r="E196" s="127" t="str">
        <f>VLOOKUP(D196,'PLAN COMPTABLE'!$C:$D,2,0)</f>
        <v>Charge</v>
      </c>
      <c r="F196" s="166" t="s">
        <v>139</v>
      </c>
      <c r="G196" s="19">
        <v>577</v>
      </c>
      <c r="H196" s="166" t="s">
        <v>140</v>
      </c>
      <c r="I196" s="128">
        <v>14.26</v>
      </c>
      <c r="J196" s="171" t="s">
        <v>239</v>
      </c>
    </row>
    <row r="197" spans="1:10" ht="12.5" x14ac:dyDescent="0.35">
      <c r="A197" s="17">
        <v>109</v>
      </c>
      <c r="B197" s="18">
        <v>43746</v>
      </c>
      <c r="C197" s="126" t="str">
        <f>LOOKUP(B197,'HIDDEN DATA'!$A:$B,'HIDDEN DATA'!$C:$C)</f>
        <v>2019-2020</v>
      </c>
      <c r="D197" s="166" t="s">
        <v>148</v>
      </c>
      <c r="E197" s="127" t="e">
        <f>VLOOKUP(D197,'PLAN COMPTABLE'!$C:$D,2,0)</f>
        <v>#N/A</v>
      </c>
      <c r="F197" s="166" t="s">
        <v>139</v>
      </c>
      <c r="G197" s="19">
        <v>578</v>
      </c>
      <c r="H197" s="166" t="s">
        <v>140</v>
      </c>
      <c r="I197" s="128">
        <v>323.2</v>
      </c>
      <c r="J197" s="171" t="s">
        <v>243</v>
      </c>
    </row>
    <row r="198" spans="1:10" ht="12.5" x14ac:dyDescent="0.35">
      <c r="A198" s="17">
        <v>110</v>
      </c>
      <c r="B198" s="18">
        <v>43685</v>
      </c>
      <c r="C198" s="126" t="str">
        <f>LOOKUP(B198,'HIDDEN DATA'!$A:$B,'HIDDEN DATA'!$C:$C)</f>
        <v>2018-2019</v>
      </c>
      <c r="D198" s="166" t="s">
        <v>231</v>
      </c>
      <c r="E198" s="127" t="str">
        <f>VLOOKUP(D198,'PLAN COMPTABLE'!$C:$D,2,0)</f>
        <v>Charge</v>
      </c>
      <c r="F198" s="166" t="s">
        <v>139</v>
      </c>
      <c r="G198" s="19">
        <v>579</v>
      </c>
      <c r="H198" s="166" t="s">
        <v>140</v>
      </c>
      <c r="I198" s="128">
        <v>255</v>
      </c>
      <c r="J198" s="171" t="s">
        <v>208</v>
      </c>
    </row>
    <row r="199" spans="1:10" ht="12.5" x14ac:dyDescent="0.35">
      <c r="A199" s="17">
        <v>111</v>
      </c>
      <c r="B199" s="18">
        <v>43746</v>
      </c>
      <c r="C199" s="126" t="str">
        <f>LOOKUP(B199,'HIDDEN DATA'!$A:$B,'HIDDEN DATA'!$C:$C)</f>
        <v>2019-2020</v>
      </c>
      <c r="D199" s="166" t="s">
        <v>154</v>
      </c>
      <c r="E199" s="127" t="str">
        <f>VLOOKUP(D199,'PLAN COMPTABLE'!$C:$D,2,0)</f>
        <v>Charge</v>
      </c>
      <c r="F199" s="166" t="s">
        <v>139</v>
      </c>
      <c r="G199" s="19">
        <v>580</v>
      </c>
      <c r="H199" s="166" t="s">
        <v>140</v>
      </c>
      <c r="I199" s="128">
        <v>42.9</v>
      </c>
      <c r="J199" s="171" t="s">
        <v>217</v>
      </c>
    </row>
    <row r="200" spans="1:10" ht="12.5" x14ac:dyDescent="0.35">
      <c r="A200" s="17">
        <v>112</v>
      </c>
      <c r="B200" s="18">
        <v>43746</v>
      </c>
      <c r="C200" s="126" t="str">
        <f>LOOKUP(B200,'HIDDEN DATA'!$A:$B,'HIDDEN DATA'!$C:$C)</f>
        <v>2019-2020</v>
      </c>
      <c r="D200" s="166" t="s">
        <v>148</v>
      </c>
      <c r="E200" s="127" t="e">
        <f>VLOOKUP(D200,'PLAN COMPTABLE'!$C:$D,2,0)</f>
        <v>#N/A</v>
      </c>
      <c r="F200" s="166" t="s">
        <v>139</v>
      </c>
      <c r="G200" s="19">
        <v>581</v>
      </c>
      <c r="H200" s="166" t="s">
        <v>140</v>
      </c>
      <c r="I200" s="128">
        <v>31.66</v>
      </c>
      <c r="J200" s="171" t="s">
        <v>163</v>
      </c>
    </row>
    <row r="201" spans="1:10" ht="12.5" x14ac:dyDescent="0.35">
      <c r="A201" s="17">
        <v>113</v>
      </c>
      <c r="B201" s="18">
        <v>43747</v>
      </c>
      <c r="C201" s="126" t="str">
        <f>LOOKUP(B201,'HIDDEN DATA'!$A:$B,'HIDDEN DATA'!$C:$C)</f>
        <v>2019-2020</v>
      </c>
      <c r="D201" s="166" t="s">
        <v>143</v>
      </c>
      <c r="E201" s="127" t="str">
        <f>VLOOKUP(D201,'PLAN COMPTABLE'!$C:$D,2,0)</f>
        <v>Charge</v>
      </c>
      <c r="F201" s="166" t="s">
        <v>139</v>
      </c>
      <c r="G201" s="19">
        <v>582</v>
      </c>
      <c r="H201" s="166" t="s">
        <v>140</v>
      </c>
      <c r="I201" s="128">
        <v>48</v>
      </c>
      <c r="J201" s="171" t="s">
        <v>211</v>
      </c>
    </row>
    <row r="202" spans="1:10" ht="12.5" x14ac:dyDescent="0.35">
      <c r="A202" s="17">
        <v>114</v>
      </c>
      <c r="B202" s="18">
        <v>43748</v>
      </c>
      <c r="C202" s="126" t="str">
        <f>LOOKUP(B202,'HIDDEN DATA'!$A:$B,'HIDDEN DATA'!$C:$C)</f>
        <v>2019-2020</v>
      </c>
      <c r="D202" s="166" t="s">
        <v>167</v>
      </c>
      <c r="E202" s="127" t="str">
        <f>VLOOKUP(D202,'PLAN COMPTABLE'!$C:$D,2,0)</f>
        <v>Produit</v>
      </c>
      <c r="F202" s="166" t="s">
        <v>139</v>
      </c>
      <c r="G202" s="19">
        <v>1015230</v>
      </c>
      <c r="H202" s="166" t="s">
        <v>140</v>
      </c>
      <c r="I202" s="128">
        <v>2488.5</v>
      </c>
      <c r="J202" s="171" t="s">
        <v>244</v>
      </c>
    </row>
    <row r="203" spans="1:10" ht="12.5" x14ac:dyDescent="0.35">
      <c r="A203" s="17">
        <v>115</v>
      </c>
      <c r="B203" s="18">
        <v>43748</v>
      </c>
      <c r="C203" s="126" t="str">
        <f>LOOKUP(B203,'HIDDEN DATA'!$A:$B,'HIDDEN DATA'!$C:$C)</f>
        <v>2019-2020</v>
      </c>
      <c r="D203" s="166" t="s">
        <v>170</v>
      </c>
      <c r="E203" s="127" t="str">
        <f>VLOOKUP(D203,'PLAN COMPTABLE'!$C:$D,2,0)</f>
        <v>Produit</v>
      </c>
      <c r="F203" s="166" t="s">
        <v>139</v>
      </c>
      <c r="G203" s="19">
        <v>1015229</v>
      </c>
      <c r="H203" s="166" t="s">
        <v>140</v>
      </c>
      <c r="I203" s="128">
        <v>798</v>
      </c>
      <c r="J203" s="171" t="s">
        <v>244</v>
      </c>
    </row>
    <row r="204" spans="1:10" ht="12.5" x14ac:dyDescent="0.35">
      <c r="A204" s="17">
        <v>116</v>
      </c>
      <c r="B204" s="18">
        <v>43748</v>
      </c>
      <c r="C204" s="126" t="str">
        <f>LOOKUP(B204,'HIDDEN DATA'!$A:$B,'HIDDEN DATA'!$C:$C)</f>
        <v>2019-2020</v>
      </c>
      <c r="D204" s="166" t="s">
        <v>165</v>
      </c>
      <c r="E204" s="127" t="str">
        <f>VLOOKUP(D204,'PLAN COMPTABLE'!$C:$D,2,0)</f>
        <v>Produit</v>
      </c>
      <c r="F204" s="166" t="s">
        <v>139</v>
      </c>
      <c r="G204" s="19">
        <v>1016389</v>
      </c>
      <c r="H204" s="166" t="s">
        <v>140</v>
      </c>
      <c r="I204" s="128">
        <v>300</v>
      </c>
      <c r="J204" s="171" t="s">
        <v>244</v>
      </c>
    </row>
    <row r="205" spans="1:10" ht="12.5" x14ac:dyDescent="0.35">
      <c r="A205" s="17">
        <v>117</v>
      </c>
      <c r="B205" s="18">
        <v>43748</v>
      </c>
      <c r="C205" s="126" t="str">
        <f>LOOKUP(B205,'HIDDEN DATA'!$A:$B,'HIDDEN DATA'!$C:$C)</f>
        <v>2019-2020</v>
      </c>
      <c r="D205" s="166" t="s">
        <v>143</v>
      </c>
      <c r="E205" s="127" t="str">
        <f>VLOOKUP(D205,'PLAN COMPTABLE'!$C:$D,2,0)</f>
        <v>Charge</v>
      </c>
      <c r="F205" s="166" t="s">
        <v>139</v>
      </c>
      <c r="G205" s="19">
        <v>583</v>
      </c>
      <c r="H205" s="166" t="s">
        <v>140</v>
      </c>
      <c r="I205" s="128">
        <v>48</v>
      </c>
      <c r="J205" s="171" t="s">
        <v>242</v>
      </c>
    </row>
    <row r="206" spans="1:10" ht="12.5" x14ac:dyDescent="0.35">
      <c r="A206" s="17">
        <v>118</v>
      </c>
      <c r="B206" s="18">
        <v>43748</v>
      </c>
      <c r="C206" s="126" t="str">
        <f>LOOKUP(B206,'HIDDEN DATA'!$A:$B,'HIDDEN DATA'!$C:$C)</f>
        <v>2019-2020</v>
      </c>
      <c r="D206" s="166" t="s">
        <v>156</v>
      </c>
      <c r="E206" s="127" t="str">
        <f>VLOOKUP(D206,'PLAN COMPTABLE'!$C:$D,2,0)</f>
        <v>Charge</v>
      </c>
      <c r="F206" s="166" t="s">
        <v>139</v>
      </c>
      <c r="G206" s="19">
        <v>584</v>
      </c>
      <c r="H206" s="166" t="s">
        <v>140</v>
      </c>
      <c r="I206" s="128">
        <v>42.31</v>
      </c>
      <c r="J206" s="171" t="s">
        <v>242</v>
      </c>
    </row>
    <row r="207" spans="1:10" ht="12.5" x14ac:dyDescent="0.35">
      <c r="A207" s="17">
        <v>119</v>
      </c>
      <c r="B207" s="18">
        <v>43748</v>
      </c>
      <c r="C207" s="126" t="str">
        <f>LOOKUP(B207,'HIDDEN DATA'!$A:$B,'HIDDEN DATA'!$C:$C)</f>
        <v>2019-2020</v>
      </c>
      <c r="D207" s="166" t="s">
        <v>156</v>
      </c>
      <c r="E207" s="127" t="str">
        <f>VLOOKUP(D207,'PLAN COMPTABLE'!$C:$D,2,0)</f>
        <v>Charge</v>
      </c>
      <c r="F207" s="166" t="s">
        <v>139</v>
      </c>
      <c r="G207" s="19">
        <v>585</v>
      </c>
      <c r="H207" s="166" t="s">
        <v>140</v>
      </c>
      <c r="I207" s="128">
        <v>42.31</v>
      </c>
      <c r="J207" s="171" t="s">
        <v>239</v>
      </c>
    </row>
    <row r="208" spans="1:10" ht="12.5" x14ac:dyDescent="0.35">
      <c r="A208" s="17">
        <v>120</v>
      </c>
      <c r="B208" s="18">
        <v>43748</v>
      </c>
      <c r="C208" s="126" t="str">
        <f>LOOKUP(B208,'HIDDEN DATA'!$A:$B,'HIDDEN DATA'!$C:$C)</f>
        <v>2019-2020</v>
      </c>
      <c r="D208" s="166" t="s">
        <v>143</v>
      </c>
      <c r="E208" s="127" t="str">
        <f>VLOOKUP(D208,'PLAN COMPTABLE'!$C:$D,2,0)</f>
        <v>Charge</v>
      </c>
      <c r="F208" s="166" t="s">
        <v>139</v>
      </c>
      <c r="G208" s="19">
        <v>586</v>
      </c>
      <c r="H208" s="166" t="s">
        <v>140</v>
      </c>
      <c r="I208" s="128">
        <v>17.940000000000001</v>
      </c>
      <c r="J208" s="171" t="s">
        <v>211</v>
      </c>
    </row>
    <row r="209" spans="1:10" ht="12.5" x14ac:dyDescent="0.35">
      <c r="A209" s="17">
        <v>121</v>
      </c>
      <c r="B209" s="18">
        <v>43753</v>
      </c>
      <c r="C209" s="126" t="str">
        <f>LOOKUP(B209,'HIDDEN DATA'!$A:$B,'HIDDEN DATA'!$C:$C)</f>
        <v>2019-2020</v>
      </c>
      <c r="D209" s="166" t="s">
        <v>148</v>
      </c>
      <c r="E209" s="127" t="e">
        <f>VLOOKUP(D209,'PLAN COMPTABLE'!$C:$D,2,0)</f>
        <v>#N/A</v>
      </c>
      <c r="F209" s="166" t="s">
        <v>139</v>
      </c>
      <c r="G209" s="19">
        <v>587</v>
      </c>
      <c r="H209" s="166" t="s">
        <v>140</v>
      </c>
      <c r="I209" s="128">
        <v>23.99</v>
      </c>
      <c r="J209" s="171" t="s">
        <v>217</v>
      </c>
    </row>
    <row r="210" spans="1:10" ht="12.5" x14ac:dyDescent="0.35">
      <c r="A210" s="17">
        <v>122</v>
      </c>
      <c r="B210" s="18">
        <v>43753</v>
      </c>
      <c r="C210" s="126" t="str">
        <f>LOOKUP(B210,'HIDDEN DATA'!$A:$B,'HIDDEN DATA'!$C:$C)</f>
        <v>2019-2020</v>
      </c>
      <c r="D210" s="166" t="s">
        <v>177</v>
      </c>
      <c r="E210" s="127" t="str">
        <f>VLOOKUP(D210,'PLAN COMPTABLE'!$C:$D,2,0)</f>
        <v>Charge</v>
      </c>
      <c r="F210" s="166" t="s">
        <v>139</v>
      </c>
      <c r="G210" s="19">
        <v>587</v>
      </c>
      <c r="H210" s="166" t="s">
        <v>140</v>
      </c>
      <c r="I210" s="128">
        <v>21.75</v>
      </c>
      <c r="J210" s="171" t="s">
        <v>217</v>
      </c>
    </row>
    <row r="211" spans="1:10" ht="12.5" x14ac:dyDescent="0.35">
      <c r="A211" s="17">
        <v>123</v>
      </c>
      <c r="B211" s="18">
        <v>43443</v>
      </c>
      <c r="C211" s="126" t="str">
        <f>LOOKUP(B211,'HIDDEN DATA'!$A:$B,'HIDDEN DATA'!$C:$C)</f>
        <v>2018-2019</v>
      </c>
      <c r="D211" s="166" t="s">
        <v>245</v>
      </c>
      <c r="E211" s="127" t="str">
        <f>VLOOKUP(D211,'PLAN COMPTABLE'!$C:$D,2,0)</f>
        <v>Charge</v>
      </c>
      <c r="F211" s="166" t="s">
        <v>139</v>
      </c>
      <c r="G211" s="19">
        <v>588</v>
      </c>
      <c r="H211" s="166" t="s">
        <v>140</v>
      </c>
      <c r="I211" s="128">
        <v>57.49</v>
      </c>
      <c r="J211" s="171" t="s">
        <v>246</v>
      </c>
    </row>
    <row r="212" spans="1:10" ht="12.5" x14ac:dyDescent="0.35">
      <c r="A212" s="17">
        <v>124</v>
      </c>
      <c r="B212" s="18">
        <v>43755</v>
      </c>
      <c r="C212" s="126" t="str">
        <f>LOOKUP(B212,'HIDDEN DATA'!$A:$B,'HIDDEN DATA'!$C:$C)</f>
        <v>2019-2020</v>
      </c>
      <c r="D212" s="166" t="s">
        <v>177</v>
      </c>
      <c r="E212" s="127" t="str">
        <f>VLOOKUP(D212,'PLAN COMPTABLE'!$C:$D,2,0)</f>
        <v>Charge</v>
      </c>
      <c r="F212" s="166" t="s">
        <v>139</v>
      </c>
      <c r="G212" s="19">
        <v>589</v>
      </c>
      <c r="H212" s="216" t="s">
        <v>247</v>
      </c>
      <c r="I212" s="128">
        <v>16.09</v>
      </c>
      <c r="J212" s="171" t="s">
        <v>211</v>
      </c>
    </row>
    <row r="213" spans="1:10" ht="12.5" x14ac:dyDescent="0.35">
      <c r="A213" s="17">
        <v>125</v>
      </c>
      <c r="B213" s="18">
        <v>43757</v>
      </c>
      <c r="C213" s="126" t="str">
        <f>LOOKUP(B213,'HIDDEN DATA'!$A:$B,'HIDDEN DATA'!$C:$C)</f>
        <v>2019-2020</v>
      </c>
      <c r="D213" s="166" t="s">
        <v>148</v>
      </c>
      <c r="E213" s="127" t="e">
        <f>VLOOKUP(D213,'PLAN COMPTABLE'!$C:$D,2,0)</f>
        <v>#N/A</v>
      </c>
      <c r="F213" s="166" t="s">
        <v>139</v>
      </c>
      <c r="G213" s="19">
        <v>590</v>
      </c>
      <c r="H213" s="216" t="s">
        <v>247</v>
      </c>
      <c r="I213" s="128">
        <v>408</v>
      </c>
      <c r="J213" s="171" t="s">
        <v>217</v>
      </c>
    </row>
    <row r="214" spans="1:10" ht="12.5" x14ac:dyDescent="0.35">
      <c r="A214" s="17">
        <v>126</v>
      </c>
      <c r="B214" s="18">
        <v>43757</v>
      </c>
      <c r="C214" s="126" t="str">
        <f>LOOKUP(B214,'HIDDEN DATA'!$A:$B,'HIDDEN DATA'!$C:$C)</f>
        <v>2019-2020</v>
      </c>
      <c r="D214" s="166" t="s">
        <v>153</v>
      </c>
      <c r="E214" s="127" t="str">
        <f>VLOOKUP(D214,'PLAN COMPTABLE'!$C:$D,2,0)</f>
        <v>Charge</v>
      </c>
      <c r="F214" s="166" t="s">
        <v>139</v>
      </c>
      <c r="G214" s="19">
        <v>591</v>
      </c>
      <c r="H214" s="166" t="s">
        <v>140</v>
      </c>
      <c r="I214" s="128">
        <v>298.94</v>
      </c>
      <c r="J214" s="171" t="s">
        <v>208</v>
      </c>
    </row>
    <row r="215" spans="1:10" ht="12.5" x14ac:dyDescent="0.35">
      <c r="A215" s="17">
        <v>127</v>
      </c>
      <c r="B215" s="18">
        <v>43757</v>
      </c>
      <c r="C215" s="126" t="str">
        <f>LOOKUP(B215,'HIDDEN DATA'!$A:$B,'HIDDEN DATA'!$C:$C)</f>
        <v>2019-2020</v>
      </c>
      <c r="D215" s="166" t="s">
        <v>85</v>
      </c>
      <c r="E215" s="127" t="str">
        <f>VLOOKUP(D215,'PLAN COMPTABLE'!$C:$D,2,0)</f>
        <v>Charge</v>
      </c>
      <c r="F215" s="166" t="s">
        <v>139</v>
      </c>
      <c r="G215" s="19">
        <v>592</v>
      </c>
      <c r="H215" s="166" t="s">
        <v>140</v>
      </c>
      <c r="I215" s="128">
        <v>148.09</v>
      </c>
      <c r="J215" s="171" t="s">
        <v>248</v>
      </c>
    </row>
    <row r="216" spans="1:10" ht="12.5" x14ac:dyDescent="0.35">
      <c r="A216" s="17">
        <v>128</v>
      </c>
      <c r="B216" s="18">
        <v>43757</v>
      </c>
      <c r="C216" s="126" t="str">
        <f>LOOKUP(B216,'HIDDEN DATA'!$A:$B,'HIDDEN DATA'!$C:$C)</f>
        <v>2019-2020</v>
      </c>
      <c r="D216" s="166" t="s">
        <v>148</v>
      </c>
      <c r="E216" s="127" t="e">
        <f>VLOOKUP(D216,'PLAN COMPTABLE'!$C:$D,2,0)</f>
        <v>#N/A</v>
      </c>
      <c r="F216" s="166" t="s">
        <v>139</v>
      </c>
      <c r="G216" s="19">
        <v>593</v>
      </c>
      <c r="H216" s="166" t="s">
        <v>140</v>
      </c>
      <c r="I216" s="128">
        <v>31.06</v>
      </c>
      <c r="J216" s="171" t="s">
        <v>225</v>
      </c>
    </row>
    <row r="217" spans="1:10" ht="12.5" x14ac:dyDescent="0.35">
      <c r="A217" s="17">
        <v>129</v>
      </c>
      <c r="B217" s="18">
        <v>43757</v>
      </c>
      <c r="C217" s="126" t="str">
        <f>LOOKUP(B217,'HIDDEN DATA'!$A:$B,'HIDDEN DATA'!$C:$C)</f>
        <v>2019-2020</v>
      </c>
      <c r="D217" s="166" t="s">
        <v>148</v>
      </c>
      <c r="E217" s="127" t="e">
        <f>VLOOKUP(D217,'PLAN COMPTABLE'!$C:$D,2,0)</f>
        <v>#N/A</v>
      </c>
      <c r="F217" s="166" t="s">
        <v>139</v>
      </c>
      <c r="G217" s="19">
        <v>594</v>
      </c>
      <c r="H217" s="166" t="s">
        <v>140</v>
      </c>
      <c r="I217" s="128">
        <v>50.15</v>
      </c>
      <c r="J217" s="171" t="s">
        <v>207</v>
      </c>
    </row>
    <row r="218" spans="1:10" ht="12.5" x14ac:dyDescent="0.35">
      <c r="A218" s="17">
        <v>130</v>
      </c>
      <c r="B218" s="18">
        <v>43738</v>
      </c>
      <c r="C218" s="126" t="str">
        <f>LOOKUP(B218,'HIDDEN DATA'!$A:$B,'HIDDEN DATA'!$C:$C)</f>
        <v>2019-2020</v>
      </c>
      <c r="D218" s="166" t="s">
        <v>237</v>
      </c>
      <c r="E218" s="127" t="str">
        <f>VLOOKUP(D218,'PLAN COMPTABLE'!$C:$D,2,0)</f>
        <v>Charge</v>
      </c>
      <c r="F218" s="166" t="s">
        <v>172</v>
      </c>
      <c r="G218" s="19"/>
      <c r="H218" s="166" t="s">
        <v>140</v>
      </c>
      <c r="I218" s="128">
        <v>5.95</v>
      </c>
      <c r="J218" s="171" t="s">
        <v>238</v>
      </c>
    </row>
    <row r="219" spans="1:10" ht="12.5" x14ac:dyDescent="0.35">
      <c r="A219" s="17">
        <v>131</v>
      </c>
      <c r="B219" s="18">
        <v>43767</v>
      </c>
      <c r="C219" s="126" t="str">
        <f>LOOKUP(B219,'HIDDEN DATA'!$A:$B,'HIDDEN DATA'!$C:$C)</f>
        <v>2019-2020</v>
      </c>
      <c r="D219" s="166" t="s">
        <v>157</v>
      </c>
      <c r="E219" s="127" t="str">
        <f>VLOOKUP(D219,'PLAN COMPTABLE'!$C:$D,2,0)</f>
        <v>Charge</v>
      </c>
      <c r="F219" s="166" t="s">
        <v>139</v>
      </c>
      <c r="G219" s="19">
        <v>595</v>
      </c>
      <c r="H219" s="166" t="s">
        <v>140</v>
      </c>
      <c r="I219" s="128">
        <v>1550</v>
      </c>
      <c r="J219" s="171" t="s">
        <v>249</v>
      </c>
    </row>
    <row r="220" spans="1:10" ht="12.5" x14ac:dyDescent="0.35">
      <c r="A220" s="17">
        <v>132</v>
      </c>
      <c r="B220" s="18">
        <v>43767</v>
      </c>
      <c r="C220" s="126" t="str">
        <f>LOOKUP(B220,'HIDDEN DATA'!$A:$B,'HIDDEN DATA'!$C:$C)</f>
        <v>2019-2020</v>
      </c>
      <c r="D220" s="166" t="s">
        <v>148</v>
      </c>
      <c r="E220" s="127" t="e">
        <f>VLOOKUP(D220,'PLAN COMPTABLE'!$C:$D,2,0)</f>
        <v>#N/A</v>
      </c>
      <c r="F220" s="166" t="s">
        <v>139</v>
      </c>
      <c r="G220" s="19">
        <v>596</v>
      </c>
      <c r="H220" s="166" t="s">
        <v>140</v>
      </c>
      <c r="I220" s="128">
        <v>98.9</v>
      </c>
      <c r="J220" s="171" t="s">
        <v>217</v>
      </c>
    </row>
    <row r="221" spans="1:10" ht="12.5" x14ac:dyDescent="0.35">
      <c r="A221" s="17">
        <v>133</v>
      </c>
      <c r="B221" s="18">
        <v>43767</v>
      </c>
      <c r="C221" s="126" t="str">
        <f>LOOKUP(B221,'HIDDEN DATA'!$A:$B,'HIDDEN DATA'!$C:$C)</f>
        <v>2019-2020</v>
      </c>
      <c r="D221" s="166" t="s">
        <v>148</v>
      </c>
      <c r="E221" s="127" t="e">
        <f>VLOOKUP(D221,'PLAN COMPTABLE'!$C:$D,2,0)</f>
        <v>#N/A</v>
      </c>
      <c r="F221" s="166" t="s">
        <v>139</v>
      </c>
      <c r="G221" s="19">
        <v>597</v>
      </c>
      <c r="H221" s="166" t="s">
        <v>140</v>
      </c>
      <c r="I221" s="128">
        <v>47</v>
      </c>
      <c r="J221" s="171" t="s">
        <v>217</v>
      </c>
    </row>
    <row r="222" spans="1:10" ht="12.5" x14ac:dyDescent="0.35">
      <c r="A222" s="17">
        <v>134</v>
      </c>
      <c r="B222" s="18">
        <v>43769</v>
      </c>
      <c r="C222" s="126" t="str">
        <f>LOOKUP(B222,'HIDDEN DATA'!$A:$B,'HIDDEN DATA'!$C:$C)</f>
        <v>2019-2020</v>
      </c>
      <c r="D222" s="166" t="s">
        <v>148</v>
      </c>
      <c r="E222" s="127" t="e">
        <f>VLOOKUP(D222,'PLAN COMPTABLE'!$C:$D,2,0)</f>
        <v>#N/A</v>
      </c>
      <c r="F222" s="166" t="s">
        <v>139</v>
      </c>
      <c r="G222" s="19">
        <v>599</v>
      </c>
      <c r="H222" s="166" t="s">
        <v>140</v>
      </c>
      <c r="I222" s="128">
        <v>47.54</v>
      </c>
      <c r="J222" s="171" t="s">
        <v>217</v>
      </c>
    </row>
    <row r="223" spans="1:10" ht="12.5" x14ac:dyDescent="0.35">
      <c r="A223" s="17">
        <v>135</v>
      </c>
      <c r="B223" s="18">
        <v>43769</v>
      </c>
      <c r="C223" s="126" t="str">
        <f>LOOKUP(B223,'HIDDEN DATA'!$A:$B,'HIDDEN DATA'!$C:$C)</f>
        <v>2019-2020</v>
      </c>
      <c r="D223" s="166" t="s">
        <v>237</v>
      </c>
      <c r="E223" s="127" t="str">
        <f>VLOOKUP(D223,'PLAN COMPTABLE'!$C:$D,2,0)</f>
        <v>Charge</v>
      </c>
      <c r="F223" s="166" t="s">
        <v>172</v>
      </c>
      <c r="G223" s="19"/>
      <c r="H223" s="166" t="s">
        <v>140</v>
      </c>
      <c r="I223" s="128">
        <v>5.95</v>
      </c>
      <c r="J223" s="171" t="s">
        <v>238</v>
      </c>
    </row>
    <row r="224" spans="1:10" ht="12.5" x14ac:dyDescent="0.35">
      <c r="A224" s="17">
        <v>136</v>
      </c>
      <c r="B224" s="18">
        <v>43781</v>
      </c>
      <c r="C224" s="126" t="str">
        <f>LOOKUP(B224,'HIDDEN DATA'!$A:$B,'HIDDEN DATA'!$C:$C)</f>
        <v>2019-2020</v>
      </c>
      <c r="D224" s="166" t="s">
        <v>148</v>
      </c>
      <c r="E224" s="127" t="e">
        <f>VLOOKUP(D224,'PLAN COMPTABLE'!$C:$D,2,0)</f>
        <v>#N/A</v>
      </c>
      <c r="F224" s="166" t="s">
        <v>139</v>
      </c>
      <c r="G224" s="19">
        <v>600</v>
      </c>
      <c r="H224" s="166" t="s">
        <v>140</v>
      </c>
      <c r="I224" s="128">
        <v>89.67</v>
      </c>
      <c r="J224" s="171" t="s">
        <v>217</v>
      </c>
    </row>
    <row r="225" spans="1:10" ht="12.5" x14ac:dyDescent="0.35">
      <c r="A225" s="17">
        <v>137</v>
      </c>
      <c r="B225" s="18">
        <v>43781</v>
      </c>
      <c r="C225" s="126" t="str">
        <f>LOOKUP(B225,'HIDDEN DATA'!$A:$B,'HIDDEN DATA'!$C:$C)</f>
        <v>2019-2020</v>
      </c>
      <c r="D225" s="166" t="s">
        <v>85</v>
      </c>
      <c r="E225" s="127" t="str">
        <f>VLOOKUP(D225,'PLAN COMPTABLE'!$C:$D,2,0)</f>
        <v>Charge</v>
      </c>
      <c r="F225" s="166" t="s">
        <v>139</v>
      </c>
      <c r="G225" s="19">
        <v>601</v>
      </c>
      <c r="H225" s="166" t="s">
        <v>140</v>
      </c>
      <c r="I225" s="128">
        <v>54.06</v>
      </c>
      <c r="J225" s="171" t="s">
        <v>144</v>
      </c>
    </row>
    <row r="226" spans="1:10" ht="12.5" x14ac:dyDescent="0.35">
      <c r="A226" s="17">
        <v>138</v>
      </c>
      <c r="B226" s="18">
        <v>43781</v>
      </c>
      <c r="C226" s="126" t="str">
        <f>LOOKUP(B226,'HIDDEN DATA'!$A:$B,'HIDDEN DATA'!$C:$C)</f>
        <v>2019-2020</v>
      </c>
      <c r="D226" s="166" t="s">
        <v>148</v>
      </c>
      <c r="E226" s="127" t="e">
        <f>VLOOKUP(D226,'PLAN COMPTABLE'!$C:$D,2,0)</f>
        <v>#N/A</v>
      </c>
      <c r="F226" s="166" t="s">
        <v>139</v>
      </c>
      <c r="G226" s="19">
        <v>601</v>
      </c>
      <c r="H226" s="166" t="s">
        <v>140</v>
      </c>
      <c r="I226" s="128">
        <v>100</v>
      </c>
      <c r="J226" s="171" t="s">
        <v>144</v>
      </c>
    </row>
    <row r="227" spans="1:10" ht="12.5" x14ac:dyDescent="0.35">
      <c r="A227" s="17">
        <v>139</v>
      </c>
      <c r="B227" s="18">
        <v>43781</v>
      </c>
      <c r="C227" s="126" t="str">
        <f>LOOKUP(B227,'HIDDEN DATA'!$A:$B,'HIDDEN DATA'!$C:$C)</f>
        <v>2019-2020</v>
      </c>
      <c r="D227" s="166" t="s">
        <v>146</v>
      </c>
      <c r="E227" s="127" t="str">
        <f>VLOOKUP(D227,'PLAN COMPTABLE'!$C:$D,2,0)</f>
        <v>Charge</v>
      </c>
      <c r="F227" s="166" t="s">
        <v>139</v>
      </c>
      <c r="G227" s="19">
        <v>602</v>
      </c>
      <c r="H227" s="166" t="s">
        <v>140</v>
      </c>
      <c r="I227" s="128">
        <v>5.29</v>
      </c>
      <c r="J227" s="171" t="s">
        <v>207</v>
      </c>
    </row>
    <row r="228" spans="1:10" ht="12.5" x14ac:dyDescent="0.35">
      <c r="A228" s="17">
        <v>140</v>
      </c>
      <c r="B228" s="18">
        <v>43789</v>
      </c>
      <c r="C228" s="126" t="str">
        <f>LOOKUP(B228,'HIDDEN DATA'!$A:$B,'HIDDEN DATA'!$C:$C)</f>
        <v>2019-2020</v>
      </c>
      <c r="D228" s="166" t="s">
        <v>156</v>
      </c>
      <c r="E228" s="127" t="str">
        <f>VLOOKUP(D228,'PLAN COMPTABLE'!$C:$D,2,0)</f>
        <v>Charge</v>
      </c>
      <c r="F228" s="166" t="s">
        <v>139</v>
      </c>
      <c r="G228" s="19">
        <v>603</v>
      </c>
      <c r="H228" s="166" t="s">
        <v>140</v>
      </c>
      <c r="I228" s="128">
        <v>45.99</v>
      </c>
      <c r="J228" s="171" t="s">
        <v>208</v>
      </c>
    </row>
    <row r="229" spans="1:10" ht="12.5" x14ac:dyDescent="0.35">
      <c r="A229" s="17">
        <v>141</v>
      </c>
      <c r="B229" s="18">
        <v>43795</v>
      </c>
      <c r="C229" s="126" t="str">
        <f>LOOKUP(B229,'HIDDEN DATA'!$A:$B,'HIDDEN DATA'!$C:$C)</f>
        <v>2019-2020</v>
      </c>
      <c r="D229" s="166" t="s">
        <v>146</v>
      </c>
      <c r="E229" s="127" t="str">
        <f>VLOOKUP(D229,'PLAN COMPTABLE'!$C:$D,2,0)</f>
        <v>Charge</v>
      </c>
      <c r="F229" s="166" t="s">
        <v>139</v>
      </c>
      <c r="G229" s="19">
        <v>604</v>
      </c>
      <c r="H229" s="166" t="s">
        <v>140</v>
      </c>
      <c r="I229" s="128">
        <v>5.3</v>
      </c>
      <c r="J229" s="171" t="s">
        <v>242</v>
      </c>
    </row>
    <row r="230" spans="1:10" ht="12.5" x14ac:dyDescent="0.35">
      <c r="A230" s="17">
        <v>142</v>
      </c>
      <c r="B230" s="18">
        <v>43796</v>
      </c>
      <c r="C230" s="126" t="str">
        <f>LOOKUP(B230,'HIDDEN DATA'!$A:$B,'HIDDEN DATA'!$C:$C)</f>
        <v>2019-2020</v>
      </c>
      <c r="D230" s="166" t="s">
        <v>85</v>
      </c>
      <c r="E230" s="127" t="str">
        <f>VLOOKUP(D230,'PLAN COMPTABLE'!$C:$D,2,0)</f>
        <v>Charge</v>
      </c>
      <c r="F230" s="166" t="s">
        <v>139</v>
      </c>
      <c r="G230" s="19">
        <v>605</v>
      </c>
      <c r="H230" s="166" t="s">
        <v>140</v>
      </c>
      <c r="I230" s="128">
        <v>45</v>
      </c>
      <c r="J230" s="171" t="s">
        <v>144</v>
      </c>
    </row>
    <row r="231" spans="1:10" ht="12.5" x14ac:dyDescent="0.35">
      <c r="A231" s="17">
        <v>143</v>
      </c>
      <c r="B231" s="18">
        <v>43797</v>
      </c>
      <c r="C231" s="126" t="str">
        <f>LOOKUP(B231,'HIDDEN DATA'!$A:$B,'HIDDEN DATA'!$C:$C)</f>
        <v>2019-2020</v>
      </c>
      <c r="D231" s="166" t="s">
        <v>148</v>
      </c>
      <c r="E231" s="127" t="e">
        <f>VLOOKUP(D231,'PLAN COMPTABLE'!$C:$D,2,0)</f>
        <v>#N/A</v>
      </c>
      <c r="F231" s="166" t="s">
        <v>139</v>
      </c>
      <c r="G231" s="19">
        <v>606</v>
      </c>
      <c r="H231" s="166" t="s">
        <v>140</v>
      </c>
      <c r="I231" s="128">
        <v>231.22</v>
      </c>
      <c r="J231" s="171" t="s">
        <v>243</v>
      </c>
    </row>
    <row r="232" spans="1:10" ht="12.5" x14ac:dyDescent="0.35">
      <c r="A232" s="17">
        <v>144</v>
      </c>
      <c r="B232" s="18">
        <v>43800</v>
      </c>
      <c r="C232" s="126" t="str">
        <f>LOOKUP(B232,'HIDDEN DATA'!$A:$B,'HIDDEN DATA'!$C:$C)</f>
        <v>2019-2020</v>
      </c>
      <c r="D232" s="166" t="s">
        <v>237</v>
      </c>
      <c r="E232" s="127" t="str">
        <f>VLOOKUP(D232,'PLAN COMPTABLE'!$C:$D,2,0)</f>
        <v>Charge</v>
      </c>
      <c r="F232" s="166" t="s">
        <v>172</v>
      </c>
      <c r="G232" s="19"/>
      <c r="H232" s="166" t="s">
        <v>140</v>
      </c>
      <c r="I232" s="128">
        <v>5</v>
      </c>
      <c r="J232" s="171" t="s">
        <v>238</v>
      </c>
    </row>
    <row r="233" spans="1:10" ht="12.5" x14ac:dyDescent="0.35">
      <c r="A233" s="17">
        <v>145</v>
      </c>
      <c r="B233" s="18">
        <v>43800</v>
      </c>
      <c r="C233" s="126" t="str">
        <f>LOOKUP(B233,'HIDDEN DATA'!$A:$B,'HIDDEN DATA'!$C:$C)</f>
        <v>2019-2020</v>
      </c>
      <c r="D233" s="166" t="s">
        <v>237</v>
      </c>
      <c r="E233" s="127" t="str">
        <f>VLOOKUP(D233,'PLAN COMPTABLE'!$C:$D,2,0)</f>
        <v>Charge</v>
      </c>
      <c r="F233" s="166" t="s">
        <v>172</v>
      </c>
      <c r="G233" s="19"/>
      <c r="H233" s="166" t="s">
        <v>140</v>
      </c>
      <c r="I233" s="128">
        <v>5.95</v>
      </c>
      <c r="J233" s="171" t="s">
        <v>238</v>
      </c>
    </row>
    <row r="234" spans="1:10" ht="12.5" x14ac:dyDescent="0.35">
      <c r="A234" s="17">
        <v>146</v>
      </c>
      <c r="B234" s="18">
        <v>43804</v>
      </c>
      <c r="C234" s="126" t="str">
        <f>LOOKUP(B234,'HIDDEN DATA'!$A:$B,'HIDDEN DATA'!$C:$C)</f>
        <v>2019-2020</v>
      </c>
      <c r="D234" s="166" t="s">
        <v>148</v>
      </c>
      <c r="E234" s="127" t="e">
        <f>VLOOKUP(D234,'PLAN COMPTABLE'!$C:$D,2,0)</f>
        <v>#N/A</v>
      </c>
      <c r="F234" s="166" t="s">
        <v>139</v>
      </c>
      <c r="G234" s="19">
        <v>607</v>
      </c>
      <c r="H234" s="166" t="s">
        <v>140</v>
      </c>
      <c r="I234" s="128">
        <v>26.22</v>
      </c>
      <c r="J234" s="171" t="s">
        <v>250</v>
      </c>
    </row>
    <row r="235" spans="1:10" ht="12.5" x14ac:dyDescent="0.35">
      <c r="A235" s="17">
        <v>147</v>
      </c>
      <c r="B235" s="18">
        <v>43811</v>
      </c>
      <c r="C235" s="126" t="str">
        <f>LOOKUP(B235,'HIDDEN DATA'!$A:$B,'HIDDEN DATA'!$C:$C)</f>
        <v>2019-2020</v>
      </c>
      <c r="D235" s="166" t="s">
        <v>197</v>
      </c>
      <c r="E235" s="127" t="str">
        <f>VLOOKUP(D235,'PLAN COMPTABLE'!$C:$D,2,0)</f>
        <v>Charge</v>
      </c>
      <c r="F235" s="166" t="s">
        <v>172</v>
      </c>
      <c r="G235" s="19">
        <v>1</v>
      </c>
      <c r="H235" s="166" t="s">
        <v>140</v>
      </c>
      <c r="I235" s="128">
        <v>56.19</v>
      </c>
      <c r="J235" s="171" t="s">
        <v>251</v>
      </c>
    </row>
    <row r="236" spans="1:10" ht="12.5" x14ac:dyDescent="0.35">
      <c r="A236" s="17">
        <v>148</v>
      </c>
      <c r="B236" s="18">
        <v>43811</v>
      </c>
      <c r="C236" s="126" t="str">
        <f>LOOKUP(B236,'HIDDEN DATA'!$A:$B,'HIDDEN DATA'!$C:$C)</f>
        <v>2019-2020</v>
      </c>
      <c r="D236" s="166" t="s">
        <v>160</v>
      </c>
      <c r="E236" s="127" t="str">
        <f>VLOOKUP(D236,'PLAN COMPTABLE'!$C:$D,2,0)</f>
        <v>Charge</v>
      </c>
      <c r="F236" s="166" t="s">
        <v>139</v>
      </c>
      <c r="G236" s="19">
        <v>608</v>
      </c>
      <c r="H236" s="166" t="s">
        <v>140</v>
      </c>
      <c r="I236" s="128">
        <v>100.02</v>
      </c>
      <c r="J236" s="171" t="s">
        <v>207</v>
      </c>
    </row>
    <row r="237" spans="1:10" ht="12.5" x14ac:dyDescent="0.35">
      <c r="A237" s="17">
        <v>149</v>
      </c>
      <c r="B237" s="18">
        <v>43821</v>
      </c>
      <c r="C237" s="126" t="str">
        <f>LOOKUP(B237,'HIDDEN DATA'!$A:$B,'HIDDEN DATA'!$C:$C)</f>
        <v>2019-2020</v>
      </c>
      <c r="D237" s="166" t="s">
        <v>159</v>
      </c>
      <c r="E237" s="127" t="str">
        <f>VLOOKUP(D237,'PLAN COMPTABLE'!$C:$D,2,0)</f>
        <v>Charge</v>
      </c>
      <c r="F237" s="166" t="s">
        <v>139</v>
      </c>
      <c r="G237" s="19">
        <v>609</v>
      </c>
      <c r="H237" s="166" t="s">
        <v>140</v>
      </c>
      <c r="I237" s="128">
        <v>300</v>
      </c>
      <c r="J237" s="171" t="s">
        <v>208</v>
      </c>
    </row>
    <row r="238" spans="1:10" ht="12.5" x14ac:dyDescent="0.35">
      <c r="A238" s="17">
        <v>150</v>
      </c>
      <c r="B238" s="18">
        <v>43836</v>
      </c>
      <c r="C238" s="126" t="str">
        <f>LOOKUP(B238,'HIDDEN DATA'!$A:$B,'HIDDEN DATA'!$C:$C)</f>
        <v>2019-2020</v>
      </c>
      <c r="D238" s="166" t="s">
        <v>85</v>
      </c>
      <c r="E238" s="127" t="str">
        <f>VLOOKUP(D238,'PLAN COMPTABLE'!$C:$D,2,0)</f>
        <v>Charge</v>
      </c>
      <c r="F238" s="166" t="s">
        <v>139</v>
      </c>
      <c r="G238" s="19">
        <v>610</v>
      </c>
      <c r="H238" s="166" t="s">
        <v>140</v>
      </c>
      <c r="I238" s="128">
        <v>43.77</v>
      </c>
      <c r="J238" s="171" t="s">
        <v>207</v>
      </c>
    </row>
    <row r="239" spans="1:10" ht="12.5" x14ac:dyDescent="0.35">
      <c r="A239" s="17">
        <v>151</v>
      </c>
      <c r="B239" s="18">
        <v>43836</v>
      </c>
      <c r="C239" s="126" t="str">
        <f>LOOKUP(B239,'HIDDEN DATA'!$A:$B,'HIDDEN DATA'!$C:$C)</f>
        <v>2019-2020</v>
      </c>
      <c r="D239" s="166" t="s">
        <v>85</v>
      </c>
      <c r="E239" s="127" t="str">
        <f>VLOOKUP(D239,'PLAN COMPTABLE'!$C:$D,2,0)</f>
        <v>Charge</v>
      </c>
      <c r="F239" s="166" t="s">
        <v>139</v>
      </c>
      <c r="G239" s="19">
        <v>611</v>
      </c>
      <c r="H239" s="166" t="s">
        <v>140</v>
      </c>
      <c r="I239" s="128">
        <v>47</v>
      </c>
      <c r="J239" s="171" t="s">
        <v>144</v>
      </c>
    </row>
    <row r="240" spans="1:10" ht="12.5" x14ac:dyDescent="0.35">
      <c r="A240" s="17">
        <v>152</v>
      </c>
      <c r="B240" s="18">
        <v>43836</v>
      </c>
      <c r="C240" s="126" t="str">
        <f>LOOKUP(B240,'HIDDEN DATA'!$A:$B,'HIDDEN DATA'!$C:$C)</f>
        <v>2019-2020</v>
      </c>
      <c r="D240" s="166" t="s">
        <v>183</v>
      </c>
      <c r="E240" s="127" t="str">
        <f>VLOOKUP(D240,'PLAN COMPTABLE'!$C:$D,2,0)</f>
        <v>Charge</v>
      </c>
      <c r="F240" s="166" t="s">
        <v>139</v>
      </c>
      <c r="G240" s="19">
        <v>611</v>
      </c>
      <c r="H240" s="166" t="s">
        <v>140</v>
      </c>
      <c r="I240" s="128">
        <v>47</v>
      </c>
      <c r="J240" s="171" t="s">
        <v>144</v>
      </c>
    </row>
    <row r="241" spans="1:10" ht="12.5" x14ac:dyDescent="0.35">
      <c r="A241" s="17">
        <v>153</v>
      </c>
      <c r="B241" s="18">
        <v>43836</v>
      </c>
      <c r="C241" s="126" t="str">
        <f>LOOKUP(B241,'HIDDEN DATA'!$A:$B,'HIDDEN DATA'!$C:$C)</f>
        <v>2019-2020</v>
      </c>
      <c r="D241" s="166" t="s">
        <v>85</v>
      </c>
      <c r="E241" s="127" t="str">
        <f>VLOOKUP(D241,'PLAN COMPTABLE'!$C:$D,2,0)</f>
        <v>Charge</v>
      </c>
      <c r="F241" s="166" t="s">
        <v>139</v>
      </c>
      <c r="G241" s="19">
        <v>611</v>
      </c>
      <c r="H241" s="166" t="s">
        <v>140</v>
      </c>
      <c r="I241" s="128">
        <v>95.3</v>
      </c>
      <c r="J241" s="171" t="s">
        <v>144</v>
      </c>
    </row>
    <row r="242" spans="1:10" ht="12.5" x14ac:dyDescent="0.35">
      <c r="A242" s="17">
        <v>154</v>
      </c>
      <c r="B242" s="18">
        <v>43846</v>
      </c>
      <c r="C242" s="126" t="str">
        <f>LOOKUP(B242,'HIDDEN DATA'!$A:$B,'HIDDEN DATA'!$C:$C)</f>
        <v>2019-2020</v>
      </c>
      <c r="D242" s="166" t="s">
        <v>156</v>
      </c>
      <c r="E242" s="127" t="str">
        <f>VLOOKUP(D242,'PLAN COMPTABLE'!$C:$D,2,0)</f>
        <v>Charge</v>
      </c>
      <c r="F242" s="166" t="s">
        <v>139</v>
      </c>
      <c r="G242" s="19">
        <v>612</v>
      </c>
      <c r="H242" s="166" t="s">
        <v>140</v>
      </c>
      <c r="I242" s="128">
        <v>70</v>
      </c>
      <c r="J242" s="171" t="s">
        <v>208</v>
      </c>
    </row>
    <row r="243" spans="1:10" ht="12.5" x14ac:dyDescent="0.35">
      <c r="A243" s="17">
        <v>155</v>
      </c>
      <c r="B243" s="18">
        <v>43846</v>
      </c>
      <c r="C243" s="126" t="str">
        <f>LOOKUP(B243,'HIDDEN DATA'!$A:$B,'HIDDEN DATA'!$C:$C)</f>
        <v>2019-2020</v>
      </c>
      <c r="D243" s="166" t="s">
        <v>146</v>
      </c>
      <c r="E243" s="127" t="str">
        <f>VLOOKUP(D243,'PLAN COMPTABLE'!$C:$D,2,0)</f>
        <v>Charge</v>
      </c>
      <c r="F243" s="166" t="s">
        <v>139</v>
      </c>
      <c r="G243" s="19">
        <v>613</v>
      </c>
      <c r="H243" s="166" t="s">
        <v>140</v>
      </c>
      <c r="I243" s="128">
        <v>11.65</v>
      </c>
      <c r="J243" s="171" t="s">
        <v>239</v>
      </c>
    </row>
    <row r="244" spans="1:10" ht="13.5" customHeight="1" x14ac:dyDescent="0.35">
      <c r="A244" s="17">
        <v>156</v>
      </c>
      <c r="B244" s="18">
        <v>43846</v>
      </c>
      <c r="C244" s="126" t="str">
        <f>LOOKUP(B244,'HIDDEN DATA'!$A:$B,'HIDDEN DATA'!$C:$C)</f>
        <v>2019-2020</v>
      </c>
      <c r="D244" s="166" t="s">
        <v>175</v>
      </c>
      <c r="E244" s="127" t="str">
        <f>VLOOKUP(D244,'PLAN COMPTABLE'!$C:$D,2,0)</f>
        <v>Charge</v>
      </c>
      <c r="F244" s="166" t="s">
        <v>139</v>
      </c>
      <c r="G244" s="19">
        <v>614</v>
      </c>
      <c r="H244" s="166" t="s">
        <v>140</v>
      </c>
      <c r="I244" s="128">
        <v>1400</v>
      </c>
      <c r="J244" s="171" t="s">
        <v>176</v>
      </c>
    </row>
    <row r="245" spans="1:10" ht="12.5" x14ac:dyDescent="0.35">
      <c r="A245" s="17">
        <v>157</v>
      </c>
      <c r="B245" s="18">
        <v>43846</v>
      </c>
      <c r="C245" s="126" t="str">
        <f>LOOKUP(B245,'HIDDEN DATA'!$A:$B,'HIDDEN DATA'!$C:$C)</f>
        <v>2019-2020</v>
      </c>
      <c r="D245" s="166" t="s">
        <v>252</v>
      </c>
      <c r="E245" s="127" t="str">
        <f>VLOOKUP(D245,'PLAN COMPTABLE'!$C:$D,2,0)</f>
        <v>Charge</v>
      </c>
      <c r="F245" s="166" t="s">
        <v>139</v>
      </c>
      <c r="G245" s="19">
        <v>615</v>
      </c>
      <c r="H245" s="166" t="s">
        <v>140</v>
      </c>
      <c r="I245" s="128">
        <v>400</v>
      </c>
      <c r="J245" s="171" t="s">
        <v>93</v>
      </c>
    </row>
    <row r="246" spans="1:10" ht="12.5" x14ac:dyDescent="0.35">
      <c r="A246" s="17">
        <v>158</v>
      </c>
      <c r="B246" s="18">
        <v>43849</v>
      </c>
      <c r="C246" s="126" t="str">
        <f>LOOKUP(B246,'HIDDEN DATA'!$A:$B,'HIDDEN DATA'!$C:$C)</f>
        <v>2019-2020</v>
      </c>
      <c r="D246" s="166" t="s">
        <v>253</v>
      </c>
      <c r="E246" s="127" t="str">
        <f>VLOOKUP(D246,'PLAN COMPTABLE'!$C:$D,2,0)</f>
        <v>Charge</v>
      </c>
      <c r="F246" s="166" t="s">
        <v>139</v>
      </c>
      <c r="G246" s="19">
        <v>616</v>
      </c>
      <c r="H246" s="166" t="s">
        <v>140</v>
      </c>
      <c r="I246" s="128">
        <v>110</v>
      </c>
      <c r="J246" s="171" t="s">
        <v>242</v>
      </c>
    </row>
    <row r="247" spans="1:10" ht="12.5" x14ac:dyDescent="0.35">
      <c r="A247" s="17">
        <v>159</v>
      </c>
      <c r="B247" s="18">
        <v>43850</v>
      </c>
      <c r="C247" s="126" t="str">
        <f>LOOKUP(B247,'HIDDEN DATA'!$A:$B,'HIDDEN DATA'!$C:$C)</f>
        <v>2019-2020</v>
      </c>
      <c r="D247" s="166" t="s">
        <v>143</v>
      </c>
      <c r="E247" s="127" t="str">
        <f>VLOOKUP(D247,'PLAN COMPTABLE'!$C:$D,2,0)</f>
        <v>Charge</v>
      </c>
      <c r="F247" s="166" t="s">
        <v>139</v>
      </c>
      <c r="G247" s="19">
        <v>617</v>
      </c>
      <c r="H247" s="166" t="s">
        <v>140</v>
      </c>
      <c r="I247" s="128">
        <v>48</v>
      </c>
      <c r="J247" s="171" t="s">
        <v>203</v>
      </c>
    </row>
    <row r="248" spans="1:10" ht="12.5" x14ac:dyDescent="0.35">
      <c r="A248" s="17">
        <v>160</v>
      </c>
      <c r="B248" s="18">
        <v>43857</v>
      </c>
      <c r="C248" s="126" t="str">
        <f>LOOKUP(B248,'HIDDEN DATA'!$A:$B,'HIDDEN DATA'!$C:$C)</f>
        <v>2019-2020</v>
      </c>
      <c r="D248" s="166" t="s">
        <v>143</v>
      </c>
      <c r="E248" s="127" t="str">
        <f>VLOOKUP(D248,'PLAN COMPTABLE'!$C:$D,2,0)</f>
        <v>Charge</v>
      </c>
      <c r="F248" s="166" t="s">
        <v>139</v>
      </c>
      <c r="G248" s="19">
        <v>618</v>
      </c>
      <c r="H248" s="166" t="s">
        <v>140</v>
      </c>
      <c r="I248" s="128">
        <v>6</v>
      </c>
      <c r="J248" s="171" t="s">
        <v>203</v>
      </c>
    </row>
    <row r="249" spans="1:10" ht="12.5" x14ac:dyDescent="0.35">
      <c r="A249" s="17">
        <v>161</v>
      </c>
      <c r="B249" s="18">
        <v>43857</v>
      </c>
      <c r="C249" s="126" t="str">
        <f>LOOKUP(B249,'HIDDEN DATA'!$A:$B,'HIDDEN DATA'!$C:$C)</f>
        <v>2019-2020</v>
      </c>
      <c r="D249" s="166" t="s">
        <v>143</v>
      </c>
      <c r="E249" s="127" t="str">
        <f>VLOOKUP(D249,'PLAN COMPTABLE'!$C:$D,2,0)</f>
        <v>Charge</v>
      </c>
      <c r="F249" s="166" t="s">
        <v>139</v>
      </c>
      <c r="G249" s="19">
        <v>619</v>
      </c>
      <c r="H249" s="166" t="s">
        <v>140</v>
      </c>
      <c r="I249" s="128">
        <v>81.95</v>
      </c>
      <c r="J249" s="171" t="s">
        <v>239</v>
      </c>
    </row>
    <row r="250" spans="1:10" ht="12.5" x14ac:dyDescent="0.35">
      <c r="A250" s="17">
        <v>162</v>
      </c>
      <c r="B250" s="18">
        <v>43858</v>
      </c>
      <c r="C250" s="126" t="str">
        <f>LOOKUP(B250,'HIDDEN DATA'!$A:$B,'HIDDEN DATA'!$C:$C)</f>
        <v>2019-2020</v>
      </c>
      <c r="D250" s="166" t="s">
        <v>221</v>
      </c>
      <c r="E250" s="127" t="e">
        <f>VLOOKUP(D250,'PLAN COMPTABLE'!$C:$D,2,0)</f>
        <v>#N/A</v>
      </c>
      <c r="F250" s="166" t="s">
        <v>139</v>
      </c>
      <c r="G250" s="19">
        <v>620</v>
      </c>
      <c r="H250" s="166" t="s">
        <v>140</v>
      </c>
      <c r="I250" s="128">
        <v>300</v>
      </c>
      <c r="J250" s="171" t="s">
        <v>222</v>
      </c>
    </row>
    <row r="251" spans="1:10" ht="12.5" x14ac:dyDescent="0.35">
      <c r="A251" s="17">
        <v>163</v>
      </c>
      <c r="B251" s="18">
        <v>43858</v>
      </c>
      <c r="C251" s="126" t="str">
        <f>LOOKUP(B251,'HIDDEN DATA'!$A:$B,'HIDDEN DATA'!$C:$C)</f>
        <v>2019-2020</v>
      </c>
      <c r="D251" s="166" t="s">
        <v>151</v>
      </c>
      <c r="E251" s="127" t="str">
        <f>VLOOKUP(D251,'PLAN COMPTABLE'!$C:$D,2,0)</f>
        <v>Charge</v>
      </c>
      <c r="F251" s="166" t="s">
        <v>172</v>
      </c>
      <c r="G251" s="19"/>
      <c r="H251" s="166" t="s">
        <v>140</v>
      </c>
      <c r="I251" s="128">
        <v>35.92</v>
      </c>
      <c r="J251" s="171" t="s">
        <v>198</v>
      </c>
    </row>
    <row r="252" spans="1:10" ht="12.5" x14ac:dyDescent="0.35">
      <c r="A252" s="17">
        <v>164</v>
      </c>
      <c r="B252" s="18">
        <v>43879</v>
      </c>
      <c r="C252" s="126" t="str">
        <f>LOOKUP(B252,'HIDDEN DATA'!$A:$B,'HIDDEN DATA'!$C:$C)</f>
        <v>2019-2020</v>
      </c>
      <c r="D252" s="166" t="s">
        <v>499</v>
      </c>
      <c r="E252" s="127" t="str">
        <f>VLOOKUP(D252,'PLAN COMPTABLE'!$C:$D,2,0)</f>
        <v>Charge</v>
      </c>
      <c r="F252" s="166" t="s">
        <v>139</v>
      </c>
      <c r="G252" s="19">
        <v>621</v>
      </c>
      <c r="H252" s="166" t="s">
        <v>140</v>
      </c>
      <c r="I252" s="128">
        <v>49.54</v>
      </c>
      <c r="J252" s="171" t="s">
        <v>250</v>
      </c>
    </row>
    <row r="253" spans="1:10" ht="12.5" x14ac:dyDescent="0.35">
      <c r="A253" s="17">
        <v>165</v>
      </c>
      <c r="B253" s="18">
        <v>43879</v>
      </c>
      <c r="C253" s="126" t="str">
        <f>LOOKUP(B253,'HIDDEN DATA'!$A:$B,'HIDDEN DATA'!$C:$C)</f>
        <v>2019-2020</v>
      </c>
      <c r="D253" s="166" t="s">
        <v>146</v>
      </c>
      <c r="E253" s="127" t="str">
        <f>VLOOKUP(D253,'PLAN COMPTABLE'!$C:$D,2,0)</f>
        <v>Charge</v>
      </c>
      <c r="F253" s="166" t="s">
        <v>139</v>
      </c>
      <c r="G253" s="19">
        <v>622</v>
      </c>
      <c r="H253" s="166" t="s">
        <v>247</v>
      </c>
      <c r="I253" s="128">
        <v>6.97</v>
      </c>
      <c r="J253" s="171" t="s">
        <v>254</v>
      </c>
    </row>
    <row r="254" spans="1:10" ht="12.5" x14ac:dyDescent="0.35">
      <c r="A254" s="17">
        <v>166</v>
      </c>
      <c r="B254" s="18">
        <v>43879</v>
      </c>
      <c r="C254" s="126" t="str">
        <f>LOOKUP(B254,'HIDDEN DATA'!$A:$B,'HIDDEN DATA'!$C:$C)</f>
        <v>2019-2020</v>
      </c>
      <c r="D254" s="166" t="s">
        <v>237</v>
      </c>
      <c r="E254" s="127" t="str">
        <f>VLOOKUP(D254,'PLAN COMPTABLE'!$C:$D,2,0)</f>
        <v>Charge</v>
      </c>
      <c r="F254" s="166" t="s">
        <v>172</v>
      </c>
      <c r="G254" s="19"/>
      <c r="H254" s="166" t="s">
        <v>140</v>
      </c>
      <c r="I254" s="128">
        <v>5.95</v>
      </c>
      <c r="J254" s="171" t="s">
        <v>238</v>
      </c>
    </row>
    <row r="255" spans="1:10" ht="12.5" x14ac:dyDescent="0.35">
      <c r="A255" s="17">
        <v>167</v>
      </c>
      <c r="B255" s="18">
        <v>43881</v>
      </c>
      <c r="C255" s="126" t="str">
        <f>LOOKUP(B255,'HIDDEN DATA'!$A:$B,'HIDDEN DATA'!$C:$C)</f>
        <v>2019-2020</v>
      </c>
      <c r="D255" s="166" t="s">
        <v>499</v>
      </c>
      <c r="E255" s="127" t="str">
        <f>VLOOKUP(D255,'PLAN COMPTABLE'!$C:$D,2,0)</f>
        <v>Charge</v>
      </c>
      <c r="F255" s="166" t="s">
        <v>139</v>
      </c>
      <c r="G255" s="19">
        <v>623</v>
      </c>
      <c r="H255" s="166" t="s">
        <v>140</v>
      </c>
      <c r="I255" s="128">
        <v>23.09</v>
      </c>
      <c r="J255" s="171" t="s">
        <v>239</v>
      </c>
    </row>
    <row r="256" spans="1:10" ht="12.5" x14ac:dyDescent="0.35">
      <c r="A256" s="17">
        <v>168</v>
      </c>
      <c r="B256" s="18">
        <v>43881</v>
      </c>
      <c r="C256" s="126" t="str">
        <f>LOOKUP(B256,'HIDDEN DATA'!$A:$B,'HIDDEN DATA'!$C:$C)</f>
        <v>2019-2020</v>
      </c>
      <c r="D256" s="166" t="s">
        <v>146</v>
      </c>
      <c r="E256" s="127" t="str">
        <f>VLOOKUP(D256,'PLAN COMPTABLE'!$C:$D,2,0)</f>
        <v>Charge</v>
      </c>
      <c r="F256" s="166" t="s">
        <v>139</v>
      </c>
      <c r="G256" s="19">
        <v>624</v>
      </c>
      <c r="H256" s="166" t="s">
        <v>247</v>
      </c>
      <c r="I256" s="128">
        <v>6</v>
      </c>
      <c r="J256" s="171" t="s">
        <v>147</v>
      </c>
    </row>
    <row r="257" spans="1:10" ht="12.5" x14ac:dyDescent="0.35">
      <c r="A257" s="17">
        <v>170</v>
      </c>
      <c r="B257" s="18">
        <v>43881</v>
      </c>
      <c r="C257" s="126" t="str">
        <f>LOOKUP(B257,'HIDDEN DATA'!$A:$B,'HIDDEN DATA'!$C:$C)</f>
        <v>2019-2020</v>
      </c>
      <c r="D257" s="166" t="s">
        <v>209</v>
      </c>
      <c r="E257" s="127" t="str">
        <f>VLOOKUP(D257,'PLAN COMPTABLE'!$C:$D,2,0)</f>
        <v>Charge</v>
      </c>
      <c r="F257" s="166" t="s">
        <v>139</v>
      </c>
      <c r="G257" s="19">
        <v>625</v>
      </c>
      <c r="H257" s="166" t="s">
        <v>140</v>
      </c>
      <c r="I257" s="128">
        <v>200</v>
      </c>
      <c r="J257" s="171" t="s">
        <v>255</v>
      </c>
    </row>
    <row r="258" spans="1:10" ht="12.5" x14ac:dyDescent="0.35">
      <c r="A258" s="17">
        <v>168.5</v>
      </c>
      <c r="B258" s="18">
        <v>43881</v>
      </c>
      <c r="C258" s="126" t="str">
        <f>LOOKUP(B258,'HIDDEN DATA'!$A:$B,'HIDDEN DATA'!$C:$C)</f>
        <v>2019-2020</v>
      </c>
      <c r="D258" s="166" t="s">
        <v>499</v>
      </c>
      <c r="E258" s="127" t="str">
        <f>VLOOKUP(D258,'PLAN COMPTABLE'!$C:$D,2,0)</f>
        <v>Charge</v>
      </c>
      <c r="F258" s="166" t="s">
        <v>139</v>
      </c>
      <c r="G258" s="19">
        <v>627</v>
      </c>
      <c r="H258" s="166" t="s">
        <v>140</v>
      </c>
      <c r="I258" s="128">
        <v>69.150000000000006</v>
      </c>
      <c r="J258" s="171" t="s">
        <v>250</v>
      </c>
    </row>
    <row r="259" spans="1:10" ht="12.5" x14ac:dyDescent="0.35">
      <c r="A259" s="17">
        <v>171</v>
      </c>
      <c r="B259" s="18">
        <v>43881</v>
      </c>
      <c r="C259" s="126" t="str">
        <f>LOOKUP(B259,'HIDDEN DATA'!$A:$B,'HIDDEN DATA'!$C:$C)</f>
        <v>2019-2020</v>
      </c>
      <c r="D259" s="166" t="s">
        <v>209</v>
      </c>
      <c r="E259" s="127" t="str">
        <f>VLOOKUP(D259,'PLAN COMPTABLE'!$C:$D,2,0)</f>
        <v>Charge</v>
      </c>
      <c r="F259" s="166" t="s">
        <v>139</v>
      </c>
      <c r="G259" s="19">
        <v>628</v>
      </c>
      <c r="H259" s="166" t="s">
        <v>140</v>
      </c>
      <c r="I259" s="128">
        <v>145</v>
      </c>
      <c r="J259" s="171" t="s">
        <v>256</v>
      </c>
    </row>
    <row r="260" spans="1:10" ht="12.5" x14ac:dyDescent="0.35">
      <c r="A260" s="17">
        <v>172</v>
      </c>
      <c r="B260" s="18">
        <v>43886</v>
      </c>
      <c r="C260" s="126" t="str">
        <f>LOOKUP(B260,'HIDDEN DATA'!$A:$B,'HIDDEN DATA'!$C:$C)</f>
        <v>2019-2020</v>
      </c>
      <c r="D260" s="166" t="s">
        <v>214</v>
      </c>
      <c r="E260" s="127" t="str">
        <f>VLOOKUP(D260,'PLAN COMPTABLE'!$C:$D,2,0)</f>
        <v>Charge</v>
      </c>
      <c r="F260" s="166" t="s">
        <v>139</v>
      </c>
      <c r="G260" s="19">
        <v>629</v>
      </c>
      <c r="H260" s="166" t="s">
        <v>247</v>
      </c>
      <c r="I260" s="128">
        <v>75.87</v>
      </c>
      <c r="J260" s="171" t="s">
        <v>254</v>
      </c>
    </row>
    <row r="261" spans="1:10" ht="12.5" x14ac:dyDescent="0.35">
      <c r="A261" s="17">
        <v>173</v>
      </c>
      <c r="B261" s="18">
        <v>43886</v>
      </c>
      <c r="C261" s="126" t="str">
        <f>LOOKUP(B261,'HIDDEN DATA'!$A:$B,'HIDDEN DATA'!$C:$C)</f>
        <v>2019-2020</v>
      </c>
      <c r="D261" s="166" t="s">
        <v>85</v>
      </c>
      <c r="E261" s="127" t="str">
        <f>VLOOKUP(D261,'PLAN COMPTABLE'!$C:$D,2,0)</f>
        <v>Charge</v>
      </c>
      <c r="F261" s="166" t="s">
        <v>139</v>
      </c>
      <c r="G261" s="19">
        <v>630</v>
      </c>
      <c r="H261" s="166" t="s">
        <v>140</v>
      </c>
      <c r="I261" s="128">
        <v>94</v>
      </c>
      <c r="J261" s="171" t="s">
        <v>144</v>
      </c>
    </row>
    <row r="262" spans="1:10" ht="12.5" x14ac:dyDescent="0.35">
      <c r="A262" s="17">
        <v>174</v>
      </c>
      <c r="B262" s="18">
        <v>43886</v>
      </c>
      <c r="C262" s="126" t="str">
        <f>LOOKUP(B262,'HIDDEN DATA'!$A:$B,'HIDDEN DATA'!$C:$C)</f>
        <v>2019-2020</v>
      </c>
      <c r="D262" s="166" t="s">
        <v>257</v>
      </c>
      <c r="E262" s="127" t="str">
        <f>VLOOKUP(D262,'PLAN COMPTABLE'!$C:$D,2,0)</f>
        <v>Produit</v>
      </c>
      <c r="F262" s="166" t="s">
        <v>139</v>
      </c>
      <c r="G262" s="19"/>
      <c r="H262" s="166" t="s">
        <v>247</v>
      </c>
      <c r="I262" s="128">
        <v>205</v>
      </c>
      <c r="J262" s="171" t="s">
        <v>258</v>
      </c>
    </row>
    <row r="263" spans="1:10" ht="12.5" x14ac:dyDescent="0.35">
      <c r="A263" s="17">
        <v>175</v>
      </c>
      <c r="B263" s="18">
        <v>43886</v>
      </c>
      <c r="C263" s="126" t="str">
        <f>LOOKUP(B263,'HIDDEN DATA'!$A:$B,'HIDDEN DATA'!$C:$C)</f>
        <v>2019-2020</v>
      </c>
      <c r="D263" s="166" t="s">
        <v>146</v>
      </c>
      <c r="E263" s="127" t="str">
        <f>VLOOKUP(D263,'PLAN COMPTABLE'!$C:$D,2,0)</f>
        <v>Charge</v>
      </c>
      <c r="F263" s="166" t="s">
        <v>139</v>
      </c>
      <c r="G263" s="19">
        <v>631</v>
      </c>
      <c r="H263" s="166" t="s">
        <v>247</v>
      </c>
      <c r="I263" s="128">
        <v>19.75</v>
      </c>
      <c r="J263" s="171" t="s">
        <v>147</v>
      </c>
    </row>
    <row r="264" spans="1:10" ht="12.5" x14ac:dyDescent="0.35">
      <c r="A264" s="17">
        <v>176</v>
      </c>
      <c r="B264" s="18">
        <v>43886</v>
      </c>
      <c r="C264" s="126" t="str">
        <f>LOOKUP(B264,'HIDDEN DATA'!$A:$B,'HIDDEN DATA'!$C:$C)</f>
        <v>2019-2020</v>
      </c>
      <c r="D264" s="166" t="s">
        <v>499</v>
      </c>
      <c r="E264" s="127" t="str">
        <f>VLOOKUP(D264,'PLAN COMPTABLE'!$C:$D,2,0)</f>
        <v>Charge</v>
      </c>
      <c r="F264" s="166" t="s">
        <v>139</v>
      </c>
      <c r="G264" s="19">
        <v>632</v>
      </c>
      <c r="H264" s="166" t="s">
        <v>140</v>
      </c>
      <c r="I264" s="128">
        <v>44.78</v>
      </c>
      <c r="J264" s="171" t="s">
        <v>250</v>
      </c>
    </row>
    <row r="265" spans="1:10" ht="12.5" x14ac:dyDescent="0.35">
      <c r="A265" s="17">
        <v>177</v>
      </c>
      <c r="B265" s="18">
        <v>43903</v>
      </c>
      <c r="C265" s="126" t="str">
        <f>LOOKUP(B265,'HIDDEN DATA'!$A:$B,'HIDDEN DATA'!$C:$C)</f>
        <v>2019-2020</v>
      </c>
      <c r="D265" s="166" t="s">
        <v>174</v>
      </c>
      <c r="E265" s="127" t="str">
        <f>VLOOKUP(D265,'PLAN COMPTABLE'!$C:$D,2,0)</f>
        <v>Produit</v>
      </c>
      <c r="F265" s="166" t="s">
        <v>139</v>
      </c>
      <c r="G265" s="19">
        <v>1024742</v>
      </c>
      <c r="H265" s="166" t="s">
        <v>140</v>
      </c>
      <c r="I265" s="128">
        <v>2698.5</v>
      </c>
      <c r="J265" s="171" t="s">
        <v>244</v>
      </c>
    </row>
    <row r="266" spans="1:10" ht="12.5" x14ac:dyDescent="0.35">
      <c r="A266" s="17">
        <v>178</v>
      </c>
      <c r="B266" s="18">
        <v>43903</v>
      </c>
      <c r="C266" s="126" t="str">
        <f>LOOKUP(B266,'HIDDEN DATA'!$A:$B,'HIDDEN DATA'!$C:$C)</f>
        <v>2019-2020</v>
      </c>
      <c r="D266" s="166" t="s">
        <v>170</v>
      </c>
      <c r="E266" s="127" t="str">
        <f>VLOOKUP(D266,'PLAN COMPTABLE'!$C:$D,2,0)</f>
        <v>Produit</v>
      </c>
      <c r="F266" s="166" t="s">
        <v>139</v>
      </c>
      <c r="G266" s="19">
        <v>1024743</v>
      </c>
      <c r="H266" s="166" t="s">
        <v>140</v>
      </c>
      <c r="I266" s="128">
        <v>2156.6</v>
      </c>
      <c r="J266" s="171" t="s">
        <v>244</v>
      </c>
    </row>
    <row r="267" spans="1:10" ht="12.5" x14ac:dyDescent="0.35">
      <c r="A267" s="17">
        <v>179</v>
      </c>
      <c r="B267" s="18">
        <v>43903</v>
      </c>
      <c r="C267" s="126" t="str">
        <f>LOOKUP(B267,'HIDDEN DATA'!$A:$B,'HIDDEN DATA'!$C:$C)</f>
        <v>2019-2020</v>
      </c>
      <c r="D267" s="166" t="s">
        <v>143</v>
      </c>
      <c r="E267" s="127" t="str">
        <f>VLOOKUP(D267,'PLAN COMPTABLE'!$C:$D,2,0)</f>
        <v>Charge</v>
      </c>
      <c r="F267" s="166" t="s">
        <v>139</v>
      </c>
      <c r="G267" s="19">
        <v>633</v>
      </c>
      <c r="H267" s="166" t="s">
        <v>140</v>
      </c>
      <c r="I267" s="128">
        <v>48</v>
      </c>
      <c r="J267" s="171" t="s">
        <v>203</v>
      </c>
    </row>
    <row r="268" spans="1:10" ht="12.5" x14ac:dyDescent="0.35">
      <c r="A268" s="17">
        <v>180</v>
      </c>
      <c r="B268" s="18">
        <v>43908</v>
      </c>
      <c r="C268" s="126" t="str">
        <f>LOOKUP(B268,'HIDDEN DATA'!$A:$B,'HIDDEN DATA'!$C:$C)</f>
        <v>2019-2020</v>
      </c>
      <c r="D268" s="166" t="s">
        <v>180</v>
      </c>
      <c r="E268" s="127" t="str">
        <f>VLOOKUP(D268,'PLAN COMPTABLE'!$C:$D,2,0)</f>
        <v>Charge</v>
      </c>
      <c r="F268" s="166" t="s">
        <v>139</v>
      </c>
      <c r="G268" s="19">
        <v>635</v>
      </c>
      <c r="H268" s="166" t="s">
        <v>140</v>
      </c>
      <c r="I268" s="128">
        <v>301.75</v>
      </c>
      <c r="J268" s="171" t="s">
        <v>259</v>
      </c>
    </row>
    <row r="269" spans="1:10" ht="12.5" x14ac:dyDescent="0.35">
      <c r="A269" s="17">
        <v>181</v>
      </c>
      <c r="B269" s="18">
        <v>43917</v>
      </c>
      <c r="C269" s="126" t="str">
        <f>LOOKUP(B269,'HIDDEN DATA'!$A:$B,'HIDDEN DATA'!$C:$C)</f>
        <v>2019-2020</v>
      </c>
      <c r="D269" s="166" t="s">
        <v>183</v>
      </c>
      <c r="E269" s="127" t="str">
        <f>VLOOKUP(D269,'PLAN COMPTABLE'!$C:$D,2,0)</f>
        <v>Charge</v>
      </c>
      <c r="F269" s="166" t="s">
        <v>139</v>
      </c>
      <c r="G269" s="19">
        <v>636</v>
      </c>
      <c r="H269" s="166" t="s">
        <v>140</v>
      </c>
      <c r="I269" s="128">
        <v>200</v>
      </c>
      <c r="J269" s="171" t="s">
        <v>260</v>
      </c>
    </row>
    <row r="270" spans="1:10" ht="12.5" x14ac:dyDescent="0.35">
      <c r="A270" s="17">
        <v>182</v>
      </c>
      <c r="B270" s="18">
        <v>43924</v>
      </c>
      <c r="C270" s="126" t="str">
        <f>LOOKUP(B270,'HIDDEN DATA'!$A:$B,'HIDDEN DATA'!$C:$C)</f>
        <v>2019-2020</v>
      </c>
      <c r="D270" s="166" t="s">
        <v>177</v>
      </c>
      <c r="E270" s="127" t="str">
        <f>VLOOKUP(D270,'PLAN COMPTABLE'!$C:$D,2,0)</f>
        <v>Charge</v>
      </c>
      <c r="F270" s="166" t="s">
        <v>139</v>
      </c>
      <c r="G270" s="19">
        <v>637</v>
      </c>
      <c r="H270" s="166" t="s">
        <v>247</v>
      </c>
      <c r="I270" s="128">
        <v>25.8</v>
      </c>
      <c r="J270" s="171" t="s">
        <v>239</v>
      </c>
    </row>
    <row r="271" spans="1:10" ht="12.5" x14ac:dyDescent="0.35">
      <c r="A271" s="17">
        <v>183</v>
      </c>
      <c r="B271" s="18">
        <v>43924</v>
      </c>
      <c r="C271" s="126" t="str">
        <f>LOOKUP(B271,'HIDDEN DATA'!$A:$B,'HIDDEN DATA'!$C:$C)</f>
        <v>2019-2020</v>
      </c>
      <c r="D271" s="166" t="s">
        <v>499</v>
      </c>
      <c r="E271" s="127" t="str">
        <f>VLOOKUP(D271,'PLAN COMPTABLE'!$C:$D,2,0)</f>
        <v>Charge</v>
      </c>
      <c r="F271" s="166" t="s">
        <v>139</v>
      </c>
      <c r="G271" s="19">
        <v>638</v>
      </c>
      <c r="H271" s="166" t="s">
        <v>140</v>
      </c>
      <c r="I271" s="128">
        <v>200</v>
      </c>
      <c r="J271" s="171" t="s">
        <v>217</v>
      </c>
    </row>
    <row r="272" spans="1:10" ht="12.5" x14ac:dyDescent="0.35">
      <c r="A272" s="17">
        <v>184</v>
      </c>
      <c r="B272" s="18">
        <v>43930</v>
      </c>
      <c r="C272" s="126" t="str">
        <f>LOOKUP(B272,'HIDDEN DATA'!$A:$B,'HIDDEN DATA'!$C:$C)</f>
        <v>2019-2020</v>
      </c>
      <c r="D272" s="166" t="s">
        <v>245</v>
      </c>
      <c r="E272" s="127" t="str">
        <f>VLOOKUP(D272,'PLAN COMPTABLE'!$C:$D,2,0)</f>
        <v>Charge</v>
      </c>
      <c r="F272" s="166" t="s">
        <v>139</v>
      </c>
      <c r="G272" s="19">
        <v>639</v>
      </c>
      <c r="H272" s="166" t="s">
        <v>140</v>
      </c>
      <c r="I272" s="128">
        <v>38.880000000000003</v>
      </c>
      <c r="J272" s="171" t="s">
        <v>239</v>
      </c>
    </row>
    <row r="273" spans="1:10" ht="12.5" x14ac:dyDescent="0.35">
      <c r="A273" s="17">
        <v>185</v>
      </c>
      <c r="B273" s="18">
        <v>43930</v>
      </c>
      <c r="C273" s="126" t="str">
        <f>LOOKUP(B273,'HIDDEN DATA'!$A:$B,'HIDDEN DATA'!$C:$C)</f>
        <v>2019-2020</v>
      </c>
      <c r="D273" s="166" t="s">
        <v>215</v>
      </c>
      <c r="E273" s="127" t="str">
        <f>VLOOKUP(D273,'PLAN COMPTABLE'!$C:$D,2,0)</f>
        <v>Charge</v>
      </c>
      <c r="F273" s="166" t="s">
        <v>139</v>
      </c>
      <c r="G273" s="19">
        <v>639</v>
      </c>
      <c r="H273" s="166" t="s">
        <v>140</v>
      </c>
      <c r="I273" s="128">
        <v>200</v>
      </c>
      <c r="J273" s="171" t="s">
        <v>239</v>
      </c>
    </row>
    <row r="274" spans="1:10" ht="12.5" x14ac:dyDescent="0.35">
      <c r="A274" s="17">
        <v>186</v>
      </c>
      <c r="B274" s="18">
        <v>43930</v>
      </c>
      <c r="C274" s="126" t="str">
        <f>LOOKUP(B274,'HIDDEN DATA'!$A:$B,'HIDDEN DATA'!$C:$C)</f>
        <v>2019-2020</v>
      </c>
      <c r="D274" s="166" t="s">
        <v>245</v>
      </c>
      <c r="E274" s="127" t="str">
        <f>VLOOKUP(D274,'PLAN COMPTABLE'!$C:$D,2,0)</f>
        <v>Charge</v>
      </c>
      <c r="F274" s="166" t="s">
        <v>139</v>
      </c>
      <c r="G274" s="19">
        <v>640</v>
      </c>
      <c r="H274" s="166" t="s">
        <v>247</v>
      </c>
      <c r="I274" s="128">
        <v>38.880000000000003</v>
      </c>
      <c r="J274" s="171" t="s">
        <v>211</v>
      </c>
    </row>
    <row r="275" spans="1:10" ht="12.5" x14ac:dyDescent="0.35">
      <c r="A275" s="17">
        <v>187</v>
      </c>
      <c r="B275" s="18">
        <v>43930</v>
      </c>
      <c r="C275" s="126" t="str">
        <f>LOOKUP(B275,'HIDDEN DATA'!$A:$B,'HIDDEN DATA'!$C:$C)</f>
        <v>2019-2020</v>
      </c>
      <c r="D275" s="166" t="s">
        <v>245</v>
      </c>
      <c r="E275" s="127" t="str">
        <f>VLOOKUP(D275,'PLAN COMPTABLE'!$C:$D,2,0)</f>
        <v>Charge</v>
      </c>
      <c r="F275" s="166" t="s">
        <v>139</v>
      </c>
      <c r="G275" s="19">
        <v>641</v>
      </c>
      <c r="H275" s="166" t="s">
        <v>140</v>
      </c>
      <c r="I275" s="128">
        <v>38.880000000000003</v>
      </c>
      <c r="J275" s="171" t="s">
        <v>261</v>
      </c>
    </row>
    <row r="276" spans="1:10" ht="12.5" x14ac:dyDescent="0.35">
      <c r="A276" s="17">
        <v>188</v>
      </c>
      <c r="B276" s="18">
        <v>43930</v>
      </c>
      <c r="C276" s="126" t="str">
        <f>LOOKUP(B276,'HIDDEN DATA'!$A:$B,'HIDDEN DATA'!$C:$C)</f>
        <v>2019-2020</v>
      </c>
      <c r="D276" s="166" t="s">
        <v>215</v>
      </c>
      <c r="E276" s="127" t="str">
        <f>VLOOKUP(D276,'PLAN COMPTABLE'!$C:$D,2,0)</f>
        <v>Charge</v>
      </c>
      <c r="F276" s="166" t="s">
        <v>139</v>
      </c>
      <c r="G276" s="19">
        <v>641</v>
      </c>
      <c r="H276" s="166" t="s">
        <v>140</v>
      </c>
      <c r="I276" s="128">
        <v>100</v>
      </c>
      <c r="J276" s="171" t="s">
        <v>261</v>
      </c>
    </row>
    <row r="277" spans="1:10" ht="12.5" x14ac:dyDescent="0.35">
      <c r="A277" s="17">
        <v>189</v>
      </c>
      <c r="B277" s="18">
        <v>43930</v>
      </c>
      <c r="C277" s="126" t="str">
        <f>LOOKUP(B277,'HIDDEN DATA'!$A:$B,'HIDDEN DATA'!$C:$C)</f>
        <v>2019-2020</v>
      </c>
      <c r="D277" s="166" t="s">
        <v>245</v>
      </c>
      <c r="E277" s="127" t="str">
        <f>VLOOKUP(D277,'PLAN COMPTABLE'!$C:$D,2,0)</f>
        <v>Charge</v>
      </c>
      <c r="F277" s="166" t="s">
        <v>139</v>
      </c>
      <c r="G277" s="19">
        <v>642</v>
      </c>
      <c r="H277" s="166" t="s">
        <v>140</v>
      </c>
      <c r="I277" s="128">
        <v>38.880000000000003</v>
      </c>
      <c r="J277" s="171" t="s">
        <v>216</v>
      </c>
    </row>
    <row r="278" spans="1:10" ht="12.5" x14ac:dyDescent="0.35">
      <c r="A278" s="17">
        <v>190</v>
      </c>
      <c r="B278" s="18">
        <v>43930</v>
      </c>
      <c r="C278" s="126" t="str">
        <f>LOOKUP(B278,'HIDDEN DATA'!$A:$B,'HIDDEN DATA'!$C:$C)</f>
        <v>2019-2020</v>
      </c>
      <c r="D278" s="166" t="s">
        <v>245</v>
      </c>
      <c r="E278" s="127" t="str">
        <f>VLOOKUP(D278,'PLAN COMPTABLE'!$C:$D,2,0)</f>
        <v>Charge</v>
      </c>
      <c r="F278" s="166" t="s">
        <v>139</v>
      </c>
      <c r="G278" s="19">
        <v>643</v>
      </c>
      <c r="H278" s="166" t="s">
        <v>140</v>
      </c>
      <c r="I278" s="128">
        <v>38.880000000000003</v>
      </c>
      <c r="J278" s="171" t="s">
        <v>259</v>
      </c>
    </row>
    <row r="279" spans="1:10" ht="12.5" x14ac:dyDescent="0.35">
      <c r="A279" s="17">
        <v>191</v>
      </c>
      <c r="B279" s="18">
        <v>43930</v>
      </c>
      <c r="C279" s="126" t="str">
        <f>LOOKUP(B279,'HIDDEN DATA'!$A:$B,'HIDDEN DATA'!$C:$C)</f>
        <v>2019-2020</v>
      </c>
      <c r="D279" s="166" t="s">
        <v>245</v>
      </c>
      <c r="E279" s="127" t="str">
        <f>VLOOKUP(D279,'PLAN COMPTABLE'!$C:$D,2,0)</f>
        <v>Charge</v>
      </c>
      <c r="F279" s="166" t="s">
        <v>139</v>
      </c>
      <c r="G279" s="19">
        <v>644</v>
      </c>
      <c r="H279" s="166" t="s">
        <v>140</v>
      </c>
      <c r="I279" s="128">
        <v>38.880000000000003</v>
      </c>
      <c r="J279" s="171" t="s">
        <v>262</v>
      </c>
    </row>
    <row r="280" spans="1:10" ht="12.5" x14ac:dyDescent="0.35">
      <c r="A280" s="17">
        <v>192</v>
      </c>
      <c r="B280" s="18">
        <v>43930</v>
      </c>
      <c r="C280" s="126" t="str">
        <f>LOOKUP(B280,'HIDDEN DATA'!$A:$B,'HIDDEN DATA'!$C:$C)</f>
        <v>2019-2020</v>
      </c>
      <c r="D280" s="166" t="s">
        <v>245</v>
      </c>
      <c r="E280" s="127" t="str">
        <f>VLOOKUP(D280,'PLAN COMPTABLE'!$C:$D,2,0)</f>
        <v>Charge</v>
      </c>
      <c r="F280" s="166" t="s">
        <v>139</v>
      </c>
      <c r="G280" s="19">
        <v>645</v>
      </c>
      <c r="H280" s="166" t="s">
        <v>140</v>
      </c>
      <c r="I280" s="128">
        <v>38.880000000000003</v>
      </c>
      <c r="J280" s="171" t="s">
        <v>263</v>
      </c>
    </row>
    <row r="281" spans="1:10" ht="12.5" x14ac:dyDescent="0.35">
      <c r="A281" s="17">
        <v>193</v>
      </c>
      <c r="B281" s="18">
        <v>43930</v>
      </c>
      <c r="C281" s="126" t="str">
        <f>LOOKUP(B281,'HIDDEN DATA'!$A:$B,'HIDDEN DATA'!$C:$C)</f>
        <v>2019-2020</v>
      </c>
      <c r="D281" s="166" t="s">
        <v>245</v>
      </c>
      <c r="E281" s="127" t="str">
        <f>VLOOKUP(D281,'PLAN COMPTABLE'!$C:$D,2,0)</f>
        <v>Charge</v>
      </c>
      <c r="F281" s="166" t="s">
        <v>139</v>
      </c>
      <c r="G281" s="19">
        <v>646</v>
      </c>
      <c r="H281" s="166" t="s">
        <v>140</v>
      </c>
      <c r="I281" s="128">
        <v>38.880000000000003</v>
      </c>
      <c r="J281" s="171" t="s">
        <v>264</v>
      </c>
    </row>
    <row r="282" spans="1:10" ht="12.5" x14ac:dyDescent="0.35">
      <c r="A282" s="17">
        <v>194</v>
      </c>
      <c r="B282" s="18">
        <v>43930</v>
      </c>
      <c r="C282" s="126" t="str">
        <f>LOOKUP(B282,'HIDDEN DATA'!$A:$B,'HIDDEN DATA'!$C:$C)</f>
        <v>2019-2020</v>
      </c>
      <c r="D282" s="166" t="s">
        <v>245</v>
      </c>
      <c r="E282" s="127" t="str">
        <f>VLOOKUP(D282,'PLAN COMPTABLE'!$C:$D,2,0)</f>
        <v>Charge</v>
      </c>
      <c r="F282" s="166" t="s">
        <v>139</v>
      </c>
      <c r="G282" s="19">
        <v>647</v>
      </c>
      <c r="H282" s="166" t="s">
        <v>140</v>
      </c>
      <c r="I282" s="128">
        <v>38.880000000000003</v>
      </c>
      <c r="J282" s="171" t="s">
        <v>250</v>
      </c>
    </row>
    <row r="283" spans="1:10" ht="12.5" x14ac:dyDescent="0.35">
      <c r="A283" s="17">
        <v>195</v>
      </c>
      <c r="B283" s="18">
        <v>43930</v>
      </c>
      <c r="C283" s="126" t="str">
        <f>LOOKUP(B283,'HIDDEN DATA'!$A:$B,'HIDDEN DATA'!$C:$C)</f>
        <v>2019-2020</v>
      </c>
      <c r="D283" s="166" t="s">
        <v>237</v>
      </c>
      <c r="E283" s="127" t="str">
        <f>VLOOKUP(D283,'PLAN COMPTABLE'!$C:$D,2,0)</f>
        <v>Charge</v>
      </c>
      <c r="F283" s="166" t="s">
        <v>172</v>
      </c>
      <c r="G283" s="19"/>
      <c r="H283" s="166" t="s">
        <v>140</v>
      </c>
      <c r="I283" s="128">
        <v>5.95</v>
      </c>
      <c r="J283" s="171" t="s">
        <v>238</v>
      </c>
    </row>
    <row r="284" spans="1:10" ht="12.5" x14ac:dyDescent="0.35">
      <c r="A284" s="17">
        <v>196</v>
      </c>
      <c r="B284" s="18">
        <v>44074</v>
      </c>
      <c r="C284" s="126" t="str">
        <f>LOOKUP(B284,'HIDDEN DATA'!$A:$B,'HIDDEN DATA'!$C:$C)</f>
        <v>2019-2020</v>
      </c>
      <c r="D284" s="166" t="s">
        <v>237</v>
      </c>
      <c r="E284" s="127" t="str">
        <f>VLOOKUP(D284,'PLAN COMPTABLE'!$C:$D,2,0)</f>
        <v>Charge</v>
      </c>
      <c r="F284" s="166" t="s">
        <v>172</v>
      </c>
      <c r="G284" s="19"/>
      <c r="H284" s="166" t="s">
        <v>140</v>
      </c>
      <c r="I284" s="128">
        <v>5.95</v>
      </c>
      <c r="J284" s="171" t="s">
        <v>238</v>
      </c>
    </row>
    <row r="285" spans="1:10" ht="12.5" x14ac:dyDescent="0.35">
      <c r="A285" s="17">
        <v>197</v>
      </c>
      <c r="B285" s="18">
        <v>44074</v>
      </c>
      <c r="C285" s="126" t="str">
        <f>LOOKUP(B285,'HIDDEN DATA'!$A:$B,'HIDDEN DATA'!$C:$C)</f>
        <v>2019-2020</v>
      </c>
      <c r="D285" s="166" t="s">
        <v>204</v>
      </c>
      <c r="E285" s="127" t="str">
        <f>VLOOKUP(D285,'PLAN COMPTABLE'!$C:$D,2,0)</f>
        <v>Charge</v>
      </c>
      <c r="F285" s="166" t="s">
        <v>139</v>
      </c>
      <c r="G285" s="19">
        <v>648</v>
      </c>
      <c r="H285" s="166" t="s">
        <v>247</v>
      </c>
      <c r="I285" s="128">
        <v>105.5</v>
      </c>
      <c r="J285" s="171" t="s">
        <v>234</v>
      </c>
    </row>
    <row r="286" spans="1:10" ht="12.5" x14ac:dyDescent="0.35">
      <c r="A286" s="17">
        <v>198</v>
      </c>
      <c r="B286" s="18">
        <v>44074</v>
      </c>
      <c r="C286" s="126" t="str">
        <f>LOOKUP(B286,'HIDDEN DATA'!$A:$B,'HIDDEN DATA'!$C:$C)</f>
        <v>2019-2020</v>
      </c>
      <c r="D286" s="166" t="s">
        <v>204</v>
      </c>
      <c r="E286" s="127" t="str">
        <f>VLOOKUP(D286,'PLAN COMPTABLE'!$C:$D,2,0)</f>
        <v>Charge</v>
      </c>
      <c r="F286" s="166" t="s">
        <v>139</v>
      </c>
      <c r="G286" s="19">
        <v>649</v>
      </c>
      <c r="H286" s="166" t="s">
        <v>140</v>
      </c>
      <c r="I286" s="128">
        <v>75.28</v>
      </c>
      <c r="J286" s="171" t="s">
        <v>265</v>
      </c>
    </row>
    <row r="287" spans="1:10" ht="12.5" x14ac:dyDescent="0.35">
      <c r="A287" s="17">
        <v>199</v>
      </c>
      <c r="B287" s="18">
        <v>44074</v>
      </c>
      <c r="C287" s="126" t="str">
        <f>LOOKUP(B287,'HIDDEN DATA'!$A:$B,'HIDDEN DATA'!$C:$C)</f>
        <v>2019-2020</v>
      </c>
      <c r="D287" s="166" t="s">
        <v>177</v>
      </c>
      <c r="E287" s="127" t="str">
        <f>VLOOKUP(D287,'PLAN COMPTABLE'!$C:$D,2,0)</f>
        <v>Charge</v>
      </c>
      <c r="F287" s="166" t="s">
        <v>139</v>
      </c>
      <c r="G287" s="19">
        <v>651</v>
      </c>
      <c r="H287" s="166" t="s">
        <v>140</v>
      </c>
      <c r="I287" s="128">
        <v>24.32</v>
      </c>
      <c r="J287" s="171" t="s">
        <v>207</v>
      </c>
    </row>
    <row r="288" spans="1:10" ht="12.5" x14ac:dyDescent="0.35">
      <c r="A288" s="17">
        <v>200</v>
      </c>
      <c r="B288" s="18">
        <v>44074</v>
      </c>
      <c r="C288" s="126" t="str">
        <f>LOOKUP(B288,'HIDDEN DATA'!$A:$B,'HIDDEN DATA'!$C:$C)</f>
        <v>2019-2020</v>
      </c>
      <c r="D288" s="166" t="s">
        <v>177</v>
      </c>
      <c r="E288" s="127" t="str">
        <f>VLOOKUP(D288,'PLAN COMPTABLE'!$C:$D,2,0)</f>
        <v>Charge</v>
      </c>
      <c r="F288" s="166" t="s">
        <v>139</v>
      </c>
      <c r="G288" s="19">
        <v>652</v>
      </c>
      <c r="H288" s="166" t="s">
        <v>140</v>
      </c>
      <c r="I288" s="128">
        <v>23</v>
      </c>
      <c r="J288" s="171" t="s">
        <v>256</v>
      </c>
    </row>
    <row r="289" spans="1:10" ht="12.5" x14ac:dyDescent="0.35">
      <c r="A289" s="17">
        <v>201</v>
      </c>
      <c r="B289" s="18">
        <v>44074</v>
      </c>
      <c r="C289" s="126" t="str">
        <f>LOOKUP(B289,'HIDDEN DATA'!$A:$B,'HIDDEN DATA'!$C:$C)</f>
        <v>2019-2020</v>
      </c>
      <c r="D289" s="166" t="s">
        <v>499</v>
      </c>
      <c r="E289" s="127" t="str">
        <f>VLOOKUP(D289,'PLAN COMPTABLE'!$C:$D,2,0)</f>
        <v>Charge</v>
      </c>
      <c r="F289" s="166" t="s">
        <v>139</v>
      </c>
      <c r="G289" s="19">
        <v>653</v>
      </c>
      <c r="H289" s="166" t="s">
        <v>140</v>
      </c>
      <c r="I289" s="128">
        <v>166.15</v>
      </c>
      <c r="J289" s="171" t="s">
        <v>250</v>
      </c>
    </row>
    <row r="290" spans="1:10" ht="12.5" x14ac:dyDescent="0.35">
      <c r="A290" s="17">
        <v>202</v>
      </c>
      <c r="B290" s="18">
        <v>44074</v>
      </c>
      <c r="C290" s="126" t="str">
        <f>LOOKUP(B290,'HIDDEN DATA'!$A:$B,'HIDDEN DATA'!$C:$C)</f>
        <v>2019-2020</v>
      </c>
      <c r="D290" s="166" t="s">
        <v>204</v>
      </c>
      <c r="E290" s="127" t="str">
        <f>VLOOKUP(D290,'PLAN COMPTABLE'!$C:$D,2,0)</f>
        <v>Charge</v>
      </c>
      <c r="F290" s="166" t="s">
        <v>139</v>
      </c>
      <c r="G290" s="19">
        <v>653</v>
      </c>
      <c r="H290" s="166" t="s">
        <v>140</v>
      </c>
      <c r="I290" s="128">
        <v>67.099999999999994</v>
      </c>
      <c r="J290" s="171" t="s">
        <v>250</v>
      </c>
    </row>
    <row r="291" spans="1:10" ht="12.5" x14ac:dyDescent="0.35">
      <c r="A291" s="17">
        <v>203</v>
      </c>
      <c r="B291" s="18">
        <v>44099</v>
      </c>
      <c r="C291" s="126" t="str">
        <f>LOOKUP(B291,'HIDDEN DATA'!$A:$B,'HIDDEN DATA'!$C:$C)</f>
        <v>2020-2021</v>
      </c>
      <c r="D291" s="166" t="s">
        <v>143</v>
      </c>
      <c r="E291" s="127" t="str">
        <f>VLOOKUP(D291,'PLAN COMPTABLE'!$C:$D,2,0)</f>
        <v>Charge</v>
      </c>
      <c r="F291" s="166" t="s">
        <v>139</v>
      </c>
      <c r="G291" s="19">
        <v>654</v>
      </c>
      <c r="H291" s="166" t="s">
        <v>140</v>
      </c>
      <c r="I291" s="128">
        <v>50</v>
      </c>
      <c r="J291" s="171" t="s">
        <v>239</v>
      </c>
    </row>
    <row r="292" spans="1:10" ht="12.5" x14ac:dyDescent="0.35">
      <c r="A292" s="17">
        <v>204</v>
      </c>
      <c r="B292" s="18">
        <v>44128</v>
      </c>
      <c r="C292" s="126" t="str">
        <f>LOOKUP(B292,'HIDDEN DATA'!$A:$B,'HIDDEN DATA'!$C:$C)</f>
        <v>2020-2021</v>
      </c>
      <c r="D292" s="166" t="s">
        <v>170</v>
      </c>
      <c r="E292" s="127" t="str">
        <f>VLOOKUP(D292,'PLAN COMPTABLE'!$C:$D,2,0)</f>
        <v>Produit</v>
      </c>
      <c r="F292" s="166" t="s">
        <v>139</v>
      </c>
      <c r="G292" s="19">
        <v>1037620</v>
      </c>
      <c r="H292" s="166" t="s">
        <v>140</v>
      </c>
      <c r="I292" s="128">
        <v>1531.5</v>
      </c>
      <c r="J292" s="171" t="s">
        <v>244</v>
      </c>
    </row>
    <row r="293" spans="1:10" ht="12.5" x14ac:dyDescent="0.35">
      <c r="A293" s="17">
        <v>205</v>
      </c>
      <c r="B293" s="18">
        <v>44128</v>
      </c>
      <c r="C293" s="126" t="str">
        <f>LOOKUP(B293,'HIDDEN DATA'!$A:$B,'HIDDEN DATA'!$C:$C)</f>
        <v>2020-2021</v>
      </c>
      <c r="D293" s="166" t="s">
        <v>169</v>
      </c>
      <c r="E293" s="127" t="str">
        <f>VLOOKUP(D293,'PLAN COMPTABLE'!$C:$D,2,0)</f>
        <v>Produit</v>
      </c>
      <c r="F293" s="166" t="s">
        <v>139</v>
      </c>
      <c r="G293" s="19">
        <v>1037621</v>
      </c>
      <c r="H293" s="166" t="s">
        <v>140</v>
      </c>
      <c r="I293" s="128">
        <v>1449</v>
      </c>
      <c r="J293" s="171" t="s">
        <v>244</v>
      </c>
    </row>
    <row r="294" spans="1:10" ht="12.5" x14ac:dyDescent="0.35">
      <c r="A294" s="17">
        <v>206</v>
      </c>
      <c r="B294" s="18">
        <v>44128</v>
      </c>
      <c r="C294" s="126" t="str">
        <f>LOOKUP(B294,'HIDDEN DATA'!$A:$B,'HIDDEN DATA'!$C:$C)</f>
        <v>2020-2021</v>
      </c>
      <c r="D294" s="166" t="s">
        <v>167</v>
      </c>
      <c r="E294" s="127" t="str">
        <f>VLOOKUP(D294,'PLAN COMPTABLE'!$C:$D,2,0)</f>
        <v>Produit</v>
      </c>
      <c r="F294" s="166" t="s">
        <v>139</v>
      </c>
      <c r="G294" s="19">
        <v>1037622</v>
      </c>
      <c r="H294" s="166" t="s">
        <v>140</v>
      </c>
      <c r="I294" s="128">
        <v>2572.5</v>
      </c>
      <c r="J294" s="171" t="s">
        <v>244</v>
      </c>
    </row>
    <row r="295" spans="1:10" ht="12.5" x14ac:dyDescent="0.35">
      <c r="A295" s="17">
        <v>207</v>
      </c>
      <c r="B295" s="18">
        <v>44128</v>
      </c>
      <c r="C295" s="126" t="str">
        <f>LOOKUP(B295,'HIDDEN DATA'!$A:$B,'HIDDEN DATA'!$C:$C)</f>
        <v>2020-2021</v>
      </c>
      <c r="D295" s="166" t="s">
        <v>170</v>
      </c>
      <c r="E295" s="127" t="str">
        <f>VLOOKUP(D295,'PLAN COMPTABLE'!$C:$D,2,0)</f>
        <v>Produit</v>
      </c>
      <c r="F295" s="166" t="s">
        <v>139</v>
      </c>
      <c r="G295" s="19">
        <v>1037623</v>
      </c>
      <c r="H295" s="166" t="s">
        <v>140</v>
      </c>
      <c r="I295" s="128">
        <v>876</v>
      </c>
      <c r="J295" s="171" t="s">
        <v>244</v>
      </c>
    </row>
    <row r="296" spans="1:10" ht="12.5" x14ac:dyDescent="0.35">
      <c r="A296" s="17">
        <v>208</v>
      </c>
      <c r="B296" s="18">
        <v>44140</v>
      </c>
      <c r="C296" s="126" t="str">
        <f>LOOKUP(B296,'HIDDEN DATA'!$A:$B,'HIDDEN DATA'!$C:$C)</f>
        <v>2020-2021</v>
      </c>
      <c r="D296" s="166" t="s">
        <v>156</v>
      </c>
      <c r="E296" s="127" t="str">
        <f>VLOOKUP(D296,'PLAN COMPTABLE'!$C:$D,2,0)</f>
        <v>Charge</v>
      </c>
      <c r="F296" s="166" t="s">
        <v>139</v>
      </c>
      <c r="G296" s="19">
        <v>656</v>
      </c>
      <c r="H296" s="166" t="s">
        <v>140</v>
      </c>
      <c r="I296" s="128">
        <v>50</v>
      </c>
      <c r="J296" s="171" t="s">
        <v>239</v>
      </c>
    </row>
    <row r="297" spans="1:10" ht="12.5" x14ac:dyDescent="0.35">
      <c r="A297" s="17">
        <v>209</v>
      </c>
      <c r="B297" s="18">
        <v>44130</v>
      </c>
      <c r="C297" s="126" t="str">
        <f>LOOKUP(B297,'HIDDEN DATA'!$A:$B,'HIDDEN DATA'!$C:$C)</f>
        <v>2020-2021</v>
      </c>
      <c r="D297" s="166" t="s">
        <v>266</v>
      </c>
      <c r="E297" s="127" t="str">
        <f>VLOOKUP(D297,'PLAN COMPTABLE'!$C:$D,2,0)</f>
        <v>Produit</v>
      </c>
      <c r="F297" s="166" t="s">
        <v>172</v>
      </c>
      <c r="G297" s="19" t="s">
        <v>267</v>
      </c>
      <c r="H297" s="166" t="s">
        <v>140</v>
      </c>
      <c r="I297" s="128">
        <v>2.77</v>
      </c>
      <c r="J297" s="171" t="s">
        <v>238</v>
      </c>
    </row>
    <row r="298" spans="1:10" ht="12.5" x14ac:dyDescent="0.35">
      <c r="A298" s="17">
        <v>210</v>
      </c>
      <c r="B298" s="18">
        <v>44134</v>
      </c>
      <c r="C298" s="126" t="str">
        <f>LOOKUP(B298,'HIDDEN DATA'!$A:$B,'HIDDEN DATA'!$C:$C)</f>
        <v>2020-2021</v>
      </c>
      <c r="D298" s="166" t="s">
        <v>237</v>
      </c>
      <c r="E298" s="127" t="str">
        <f>VLOOKUP(D298,'PLAN COMPTABLE'!$C:$D,2,0)</f>
        <v>Charge</v>
      </c>
      <c r="F298" s="166" t="s">
        <v>172</v>
      </c>
      <c r="G298" s="19" t="s">
        <v>267</v>
      </c>
      <c r="H298" s="166" t="s">
        <v>140</v>
      </c>
      <c r="I298" s="128">
        <v>2.5</v>
      </c>
      <c r="J298" s="171" t="s">
        <v>238</v>
      </c>
    </row>
    <row r="299" spans="1:10" ht="12.5" x14ac:dyDescent="0.35">
      <c r="A299" s="17">
        <v>211</v>
      </c>
      <c r="B299" s="18">
        <v>44134</v>
      </c>
      <c r="C299" s="126" t="str">
        <f>LOOKUP(B299,'HIDDEN DATA'!$A:$B,'HIDDEN DATA'!$C:$C)</f>
        <v>2020-2021</v>
      </c>
      <c r="D299" s="166" t="s">
        <v>237</v>
      </c>
      <c r="E299" s="127" t="str">
        <f>VLOOKUP(D299,'PLAN COMPTABLE'!$C:$D,2,0)</f>
        <v>Charge</v>
      </c>
      <c r="F299" s="166" t="s">
        <v>172</v>
      </c>
      <c r="G299" s="19" t="s">
        <v>267</v>
      </c>
      <c r="H299" s="166" t="s">
        <v>140</v>
      </c>
      <c r="I299" s="128">
        <v>5.95</v>
      </c>
      <c r="J299" s="171" t="s">
        <v>238</v>
      </c>
    </row>
    <row r="300" spans="1:10" ht="12.5" x14ac:dyDescent="0.35">
      <c r="A300" s="17">
        <v>212</v>
      </c>
      <c r="B300" s="18">
        <v>44143</v>
      </c>
      <c r="C300" s="126" t="str">
        <f>LOOKUP(B300,'HIDDEN DATA'!$A:$B,'HIDDEN DATA'!$C:$C)</f>
        <v>2020-2021</v>
      </c>
      <c r="D300" s="166" t="s">
        <v>175</v>
      </c>
      <c r="E300" s="127" t="str">
        <f>VLOOKUP(D300,'PLAN COMPTABLE'!$C:$D,2,0)</f>
        <v>Charge</v>
      </c>
      <c r="F300" s="166" t="s">
        <v>139</v>
      </c>
      <c r="G300" s="19">
        <v>657</v>
      </c>
      <c r="H300" s="166" t="s">
        <v>140</v>
      </c>
      <c r="I300" s="128">
        <v>1400</v>
      </c>
      <c r="J300" s="171" t="s">
        <v>176</v>
      </c>
    </row>
    <row r="301" spans="1:10" ht="12.5" x14ac:dyDescent="0.35">
      <c r="A301" s="17">
        <v>213</v>
      </c>
      <c r="B301" s="18">
        <v>44143</v>
      </c>
      <c r="C301" s="126" t="str">
        <f>LOOKUP(B301,'HIDDEN DATA'!$A:$B,'HIDDEN DATA'!$C:$C)</f>
        <v>2020-2021</v>
      </c>
      <c r="D301" s="166" t="s">
        <v>201</v>
      </c>
      <c r="E301" s="127" t="e">
        <f>VLOOKUP(D301,'PLAN COMPTABLE'!$C:$D,2,0)</f>
        <v>#N/A</v>
      </c>
      <c r="F301" s="166" t="s">
        <v>139</v>
      </c>
      <c r="G301" s="19">
        <v>658</v>
      </c>
      <c r="H301" s="166" t="s">
        <v>247</v>
      </c>
      <c r="I301" s="128">
        <v>300</v>
      </c>
      <c r="J301" s="171" t="s">
        <v>202</v>
      </c>
    </row>
    <row r="302" spans="1:10" ht="12.5" x14ac:dyDescent="0.35">
      <c r="A302" s="17">
        <v>214</v>
      </c>
      <c r="B302" s="18">
        <v>44143</v>
      </c>
      <c r="C302" s="126" t="str">
        <f>LOOKUP(B302,'HIDDEN DATA'!$A:$B,'HIDDEN DATA'!$C:$C)</f>
        <v>2020-2021</v>
      </c>
      <c r="D302" s="166" t="s">
        <v>221</v>
      </c>
      <c r="E302" s="127" t="e">
        <f>VLOOKUP(D302,'PLAN COMPTABLE'!$C:$D,2,0)</f>
        <v>#N/A</v>
      </c>
      <c r="F302" s="166" t="s">
        <v>139</v>
      </c>
      <c r="G302" s="19">
        <v>659</v>
      </c>
      <c r="H302" s="166" t="s">
        <v>140</v>
      </c>
      <c r="I302" s="128">
        <v>300</v>
      </c>
      <c r="J302" s="171" t="s">
        <v>222</v>
      </c>
    </row>
    <row r="303" spans="1:10" ht="12.5" x14ac:dyDescent="0.35">
      <c r="A303" s="17">
        <v>215</v>
      </c>
      <c r="B303" s="18">
        <v>44143</v>
      </c>
      <c r="C303" s="126" t="str">
        <f>LOOKUP(B303,'HIDDEN DATA'!$A:$B,'HIDDEN DATA'!$C:$C)</f>
        <v>2020-2021</v>
      </c>
      <c r="D303" s="166" t="s">
        <v>252</v>
      </c>
      <c r="E303" s="127" t="str">
        <f>VLOOKUP(D303,'PLAN COMPTABLE'!$C:$D,2,0)</f>
        <v>Charge</v>
      </c>
      <c r="F303" s="166" t="s">
        <v>139</v>
      </c>
      <c r="G303" s="19">
        <v>660</v>
      </c>
      <c r="H303" s="166" t="s">
        <v>140</v>
      </c>
      <c r="I303" s="128">
        <v>500</v>
      </c>
      <c r="J303" s="171" t="s">
        <v>93</v>
      </c>
    </row>
    <row r="304" spans="1:10" ht="12.5" x14ac:dyDescent="0.35">
      <c r="A304" s="17">
        <v>216</v>
      </c>
      <c r="B304" s="18">
        <v>44143</v>
      </c>
      <c r="C304" s="126" t="str">
        <f>LOOKUP(B304,'HIDDEN DATA'!$A:$B,'HIDDEN DATA'!$C:$C)</f>
        <v>2020-2021</v>
      </c>
      <c r="D304" s="166" t="s">
        <v>157</v>
      </c>
      <c r="E304" s="127" t="str">
        <f>VLOOKUP(D304,'PLAN COMPTABLE'!$C:$D,2,0)</f>
        <v>Charge</v>
      </c>
      <c r="F304" s="166" t="s">
        <v>139</v>
      </c>
      <c r="G304" s="19">
        <v>661</v>
      </c>
      <c r="H304" s="166" t="s">
        <v>247</v>
      </c>
      <c r="I304" s="128">
        <v>1550</v>
      </c>
      <c r="J304" s="171" t="s">
        <v>158</v>
      </c>
    </row>
    <row r="305" spans="1:10" ht="12.5" x14ac:dyDescent="0.35">
      <c r="A305" s="17">
        <v>217</v>
      </c>
      <c r="B305" s="18">
        <v>44165</v>
      </c>
      <c r="C305" s="126" t="str">
        <f>LOOKUP(B305,'HIDDEN DATA'!$A:$B,'HIDDEN DATA'!$C:$C)</f>
        <v>2020-2021</v>
      </c>
      <c r="D305" s="166" t="s">
        <v>237</v>
      </c>
      <c r="E305" s="127" t="str">
        <f>VLOOKUP(D305,'PLAN COMPTABLE'!$C:$D,2,0)</f>
        <v>Charge</v>
      </c>
      <c r="F305" s="166" t="s">
        <v>172</v>
      </c>
      <c r="G305" s="19" t="s">
        <v>267</v>
      </c>
      <c r="H305" s="166" t="s">
        <v>140</v>
      </c>
      <c r="I305" s="128">
        <v>5.95</v>
      </c>
      <c r="J305" s="171" t="s">
        <v>238</v>
      </c>
    </row>
    <row r="306" spans="1:10" ht="12.5" x14ac:dyDescent="0.35">
      <c r="A306" s="17">
        <v>218</v>
      </c>
      <c r="B306" s="18">
        <v>44165</v>
      </c>
      <c r="C306" s="126" t="str">
        <f>LOOKUP(B306,'HIDDEN DATA'!$A:$B,'HIDDEN DATA'!$C:$C)</f>
        <v>2020-2021</v>
      </c>
      <c r="D306" s="166" t="s">
        <v>237</v>
      </c>
      <c r="E306" s="127" t="str">
        <f>VLOOKUP(D306,'PLAN COMPTABLE'!$C:$D,2,0)</f>
        <v>Charge</v>
      </c>
      <c r="F306" s="166" t="s">
        <v>172</v>
      </c>
      <c r="G306" s="19" t="s">
        <v>267</v>
      </c>
      <c r="H306" s="166" t="s">
        <v>140</v>
      </c>
      <c r="I306" s="128">
        <v>3.75</v>
      </c>
      <c r="J306" s="171" t="s">
        <v>238</v>
      </c>
    </row>
    <row r="307" spans="1:10" ht="12.5" x14ac:dyDescent="0.35">
      <c r="A307" s="17">
        <v>219</v>
      </c>
      <c r="B307" s="18">
        <v>44217</v>
      </c>
      <c r="C307" s="126" t="str">
        <f>LOOKUP(B307,'HIDDEN DATA'!$A:$B,'HIDDEN DATA'!$C:$C)</f>
        <v>2020-2021</v>
      </c>
      <c r="D307" s="166" t="s">
        <v>143</v>
      </c>
      <c r="E307" s="127" t="str">
        <f>VLOOKUP(D307,'PLAN COMPTABLE'!$C:$D,2,0)</f>
        <v>Charge</v>
      </c>
      <c r="F307" s="166" t="s">
        <v>139</v>
      </c>
      <c r="G307" s="19">
        <v>662</v>
      </c>
      <c r="H307" s="166" t="s">
        <v>247</v>
      </c>
      <c r="I307" s="128">
        <v>100</v>
      </c>
      <c r="J307" s="171" t="s">
        <v>239</v>
      </c>
    </row>
    <row r="308" spans="1:10" ht="12.5" x14ac:dyDescent="0.35">
      <c r="A308" s="17">
        <v>220</v>
      </c>
      <c r="B308" s="18">
        <v>44234</v>
      </c>
      <c r="C308" s="126" t="str">
        <f>LOOKUP(B308,'HIDDEN DATA'!$A:$B,'HIDDEN DATA'!$C:$C)</f>
        <v>2020-2021</v>
      </c>
      <c r="D308" s="166" t="s">
        <v>156</v>
      </c>
      <c r="E308" s="127" t="str">
        <f>VLOOKUP(D308,'PLAN COMPTABLE'!$C:$D,2,0)</f>
        <v>Charge</v>
      </c>
      <c r="F308" s="166" t="s">
        <v>139</v>
      </c>
      <c r="G308" s="19">
        <v>663</v>
      </c>
      <c r="H308" s="166" t="s">
        <v>247</v>
      </c>
      <c r="I308" s="128">
        <v>50</v>
      </c>
      <c r="J308" s="171" t="s">
        <v>239</v>
      </c>
    </row>
    <row r="309" spans="1:10" ht="12.5" x14ac:dyDescent="0.35">
      <c r="A309" s="17">
        <v>221</v>
      </c>
      <c r="B309" s="18">
        <v>44266</v>
      </c>
      <c r="C309" s="126" t="str">
        <f>LOOKUP(B309,'HIDDEN DATA'!$A:$B,'HIDDEN DATA'!$C:$C)</f>
        <v>2020-2021</v>
      </c>
      <c r="D309" s="166" t="s">
        <v>499</v>
      </c>
      <c r="E309" s="127" t="str">
        <f>VLOOKUP(D309,'PLAN COMPTABLE'!$C:$D,2,0)</f>
        <v>Charge</v>
      </c>
      <c r="F309" s="166" t="s">
        <v>139</v>
      </c>
      <c r="G309" s="19">
        <v>664</v>
      </c>
      <c r="H309" s="166" t="s">
        <v>247</v>
      </c>
      <c r="I309" s="128">
        <v>550</v>
      </c>
      <c r="J309" s="171" t="s">
        <v>268</v>
      </c>
    </row>
    <row r="310" spans="1:10" ht="12.5" x14ac:dyDescent="0.35">
      <c r="A310" s="17">
        <v>222</v>
      </c>
      <c r="B310" s="18">
        <v>44266</v>
      </c>
      <c r="C310" s="126" t="str">
        <f>LOOKUP(B310,'HIDDEN DATA'!$A:$B,'HIDDEN DATA'!$C:$C)</f>
        <v>2020-2021</v>
      </c>
      <c r="D310" s="166" t="s">
        <v>183</v>
      </c>
      <c r="E310" s="127" t="str">
        <f>VLOOKUP(D310,'PLAN COMPTABLE'!$C:$D,2,0)</f>
        <v>Charge</v>
      </c>
      <c r="F310" s="166" t="s">
        <v>139</v>
      </c>
      <c r="G310" s="19">
        <v>665</v>
      </c>
      <c r="H310" s="166" t="s">
        <v>247</v>
      </c>
      <c r="I310" s="128">
        <v>450</v>
      </c>
      <c r="J310" s="171" t="s">
        <v>269</v>
      </c>
    </row>
    <row r="311" spans="1:10" ht="12.5" x14ac:dyDescent="0.35">
      <c r="A311" s="17">
        <v>223</v>
      </c>
      <c r="B311" s="18">
        <v>44266</v>
      </c>
      <c r="C311" s="126" t="str">
        <f>LOOKUP(B311,'HIDDEN DATA'!$A:$B,'HIDDEN DATA'!$C:$C)</f>
        <v>2020-2021</v>
      </c>
      <c r="D311" s="166" t="s">
        <v>177</v>
      </c>
      <c r="E311" s="127" t="str">
        <f>VLOOKUP(D311,'PLAN COMPTABLE'!$C:$D,2,0)</f>
        <v>Charge</v>
      </c>
      <c r="F311" s="166" t="s">
        <v>139</v>
      </c>
      <c r="G311" s="19">
        <v>666</v>
      </c>
      <c r="H311" s="166" t="s">
        <v>247</v>
      </c>
      <c r="I311" s="128">
        <v>141.03</v>
      </c>
      <c r="J311" s="171" t="s">
        <v>270</v>
      </c>
    </row>
    <row r="312" spans="1:10" ht="12.5" x14ac:dyDescent="0.35">
      <c r="A312" s="17">
        <v>224</v>
      </c>
      <c r="B312" s="18">
        <v>44270</v>
      </c>
      <c r="C312" s="126" t="str">
        <f>LOOKUP(B312,'HIDDEN DATA'!$A:$B,'HIDDEN DATA'!$C:$C)</f>
        <v>2020-2021</v>
      </c>
      <c r="D312" s="166" t="s">
        <v>257</v>
      </c>
      <c r="E312" s="127" t="str">
        <f>VLOOKUP(D312,'PLAN COMPTABLE'!$C:$D,2,0)</f>
        <v>Produit</v>
      </c>
      <c r="F312" s="166" t="s">
        <v>139</v>
      </c>
      <c r="G312" s="19">
        <v>49</v>
      </c>
      <c r="H312" s="166" t="s">
        <v>247</v>
      </c>
      <c r="I312" s="128">
        <v>121</v>
      </c>
      <c r="J312" s="171" t="s">
        <v>271</v>
      </c>
    </row>
    <row r="313" spans="1:10" ht="12.5" x14ac:dyDescent="0.35">
      <c r="A313" s="17">
        <v>225</v>
      </c>
      <c r="B313" s="18">
        <v>44287</v>
      </c>
      <c r="C313" s="126" t="str">
        <f>LOOKUP(B313,'HIDDEN DATA'!$A:$B,'HIDDEN DATA'!$C:$C)</f>
        <v>2020-2021</v>
      </c>
      <c r="D313" s="166" t="s">
        <v>174</v>
      </c>
      <c r="E313" s="127" t="str">
        <f>VLOOKUP(D313,'PLAN COMPTABLE'!$C:$D,2,0)</f>
        <v>Produit</v>
      </c>
      <c r="F313" s="166" t="s">
        <v>139</v>
      </c>
      <c r="G313" s="19">
        <v>1043151</v>
      </c>
      <c r="H313" s="166" t="s">
        <v>247</v>
      </c>
      <c r="I313" s="128">
        <v>2604</v>
      </c>
      <c r="J313" s="171" t="s">
        <v>272</v>
      </c>
    </row>
    <row r="314" spans="1:10" ht="12.5" x14ac:dyDescent="0.35">
      <c r="A314" s="17">
        <v>226</v>
      </c>
      <c r="B314" s="18">
        <v>44287</v>
      </c>
      <c r="C314" s="126" t="str">
        <f>LOOKUP(B314,'HIDDEN DATA'!$A:$B,'HIDDEN DATA'!$C:$C)</f>
        <v>2020-2021</v>
      </c>
      <c r="D314" s="166" t="s">
        <v>174</v>
      </c>
      <c r="E314" s="127" t="str">
        <f>VLOOKUP(D314,'PLAN COMPTABLE'!$C:$D,2,0)</f>
        <v>Produit</v>
      </c>
      <c r="F314" s="166" t="s">
        <v>139</v>
      </c>
      <c r="G314" s="19">
        <v>1043152</v>
      </c>
      <c r="H314" s="166" t="s">
        <v>247</v>
      </c>
      <c r="I314" s="128">
        <v>1972.5</v>
      </c>
      <c r="J314" s="171" t="s">
        <v>272</v>
      </c>
    </row>
    <row r="315" spans="1:10" ht="12.5" x14ac:dyDescent="0.35">
      <c r="A315" s="17">
        <v>227</v>
      </c>
      <c r="B315" s="18">
        <v>44287</v>
      </c>
      <c r="C315" s="126" t="str">
        <f>LOOKUP(B315,'HIDDEN DATA'!$A:$B,'HIDDEN DATA'!$C:$C)</f>
        <v>2020-2021</v>
      </c>
      <c r="D315" s="166" t="s">
        <v>237</v>
      </c>
      <c r="E315" s="127" t="str">
        <f>VLOOKUP(D315,'PLAN COMPTABLE'!$C:$D,2,0)</f>
        <v>Charge</v>
      </c>
      <c r="F315" s="166" t="s">
        <v>172</v>
      </c>
      <c r="G315" s="19" t="s">
        <v>267</v>
      </c>
      <c r="H315" s="166" t="s">
        <v>140</v>
      </c>
      <c r="I315" s="128">
        <v>9.6999999999999993</v>
      </c>
      <c r="J315" s="171" t="s">
        <v>238</v>
      </c>
    </row>
    <row r="316" spans="1:10" ht="12.5" x14ac:dyDescent="0.35">
      <c r="A316" s="17">
        <v>228</v>
      </c>
      <c r="B316" s="18">
        <v>44287</v>
      </c>
      <c r="C316" s="126" t="str">
        <f>LOOKUP(B316,'HIDDEN DATA'!$A:$B,'HIDDEN DATA'!$C:$C)</f>
        <v>2020-2021</v>
      </c>
      <c r="D316" s="166" t="s">
        <v>185</v>
      </c>
      <c r="E316" s="127" t="str">
        <f>VLOOKUP(D316,'PLAN COMPTABLE'!$C:$D,2,0)</f>
        <v>Charge</v>
      </c>
      <c r="F316" s="166" t="s">
        <v>139</v>
      </c>
      <c r="G316" s="19">
        <v>667</v>
      </c>
      <c r="H316" s="166" t="s">
        <v>140</v>
      </c>
      <c r="I316" s="128">
        <v>200</v>
      </c>
      <c r="J316" s="171" t="s">
        <v>273</v>
      </c>
    </row>
    <row r="317" spans="1:10" ht="12.5" x14ac:dyDescent="0.35">
      <c r="A317" s="17">
        <v>229</v>
      </c>
      <c r="B317" s="18">
        <v>44287</v>
      </c>
      <c r="C317" s="126" t="str">
        <f>LOOKUP(B317,'HIDDEN DATA'!$A:$B,'HIDDEN DATA'!$C:$C)</f>
        <v>2020-2021</v>
      </c>
      <c r="D317" s="166" t="s">
        <v>185</v>
      </c>
      <c r="E317" s="127" t="str">
        <f>VLOOKUP(D317,'PLAN COMPTABLE'!$C:$D,2,0)</f>
        <v>Charge</v>
      </c>
      <c r="F317" s="166" t="s">
        <v>139</v>
      </c>
      <c r="G317" s="19">
        <v>668</v>
      </c>
      <c r="H317" s="166" t="s">
        <v>140</v>
      </c>
      <c r="I317" s="128">
        <v>100</v>
      </c>
      <c r="J317" s="171" t="s">
        <v>274</v>
      </c>
    </row>
    <row r="318" spans="1:10" ht="12.5" x14ac:dyDescent="0.35">
      <c r="A318" s="17">
        <v>230</v>
      </c>
      <c r="B318" s="18">
        <v>44287</v>
      </c>
      <c r="C318" s="126" t="str">
        <f>LOOKUP(B318,'HIDDEN DATA'!$A:$B,'HIDDEN DATA'!$C:$C)</f>
        <v>2020-2021</v>
      </c>
      <c r="D318" s="166" t="s">
        <v>185</v>
      </c>
      <c r="E318" s="127" t="str">
        <f>VLOOKUP(D318,'PLAN COMPTABLE'!$C:$D,2,0)</f>
        <v>Charge</v>
      </c>
      <c r="F318" s="166" t="s">
        <v>139</v>
      </c>
      <c r="G318" s="19">
        <v>669</v>
      </c>
      <c r="H318" s="166" t="s">
        <v>140</v>
      </c>
      <c r="I318" s="128">
        <v>100</v>
      </c>
      <c r="J318" s="171" t="s">
        <v>250</v>
      </c>
    </row>
    <row r="319" spans="1:10" ht="12.5" x14ac:dyDescent="0.35">
      <c r="A319" s="17">
        <v>231</v>
      </c>
      <c r="B319" s="18">
        <v>44287</v>
      </c>
      <c r="C319" s="126" t="str">
        <f>LOOKUP(B319,'HIDDEN DATA'!$A:$B,'HIDDEN DATA'!$C:$C)</f>
        <v>2020-2021</v>
      </c>
      <c r="D319" s="166" t="s">
        <v>185</v>
      </c>
      <c r="E319" s="127" t="str">
        <f>VLOOKUP(D319,'PLAN COMPTABLE'!$C:$D,2,0)</f>
        <v>Charge</v>
      </c>
      <c r="F319" s="166" t="s">
        <v>139</v>
      </c>
      <c r="G319" s="19">
        <v>670</v>
      </c>
      <c r="H319" s="166" t="s">
        <v>140</v>
      </c>
      <c r="I319" s="128">
        <v>200</v>
      </c>
      <c r="J319" s="171" t="s">
        <v>275</v>
      </c>
    </row>
    <row r="320" spans="1:10" ht="12.5" x14ac:dyDescent="0.35">
      <c r="A320" s="17">
        <v>232</v>
      </c>
      <c r="B320" s="18">
        <v>44287</v>
      </c>
      <c r="C320" s="126" t="str">
        <f>LOOKUP(B320,'HIDDEN DATA'!$A:$B,'HIDDEN DATA'!$C:$C)</f>
        <v>2020-2021</v>
      </c>
      <c r="D320" s="166" t="s">
        <v>185</v>
      </c>
      <c r="E320" s="127" t="str">
        <f>VLOOKUP(D320,'PLAN COMPTABLE'!$C:$D,2,0)</f>
        <v>Charge</v>
      </c>
      <c r="F320" s="166" t="s">
        <v>139</v>
      </c>
      <c r="G320" s="19">
        <v>671</v>
      </c>
      <c r="H320" s="166" t="s">
        <v>140</v>
      </c>
      <c r="I320" s="128">
        <v>100</v>
      </c>
      <c r="J320" s="171" t="s">
        <v>276</v>
      </c>
    </row>
    <row r="321" spans="1:10" ht="12.5" x14ac:dyDescent="0.35">
      <c r="A321" s="17">
        <v>233</v>
      </c>
      <c r="B321" s="18">
        <v>44287</v>
      </c>
      <c r="C321" s="126" t="str">
        <f>LOOKUP(B321,'HIDDEN DATA'!$A:$B,'HIDDEN DATA'!$C:$C)</f>
        <v>2020-2021</v>
      </c>
      <c r="D321" s="166" t="s">
        <v>185</v>
      </c>
      <c r="E321" s="127" t="str">
        <f>VLOOKUP(D321,'PLAN COMPTABLE'!$C:$D,2,0)</f>
        <v>Charge</v>
      </c>
      <c r="F321" s="166" t="s">
        <v>139</v>
      </c>
      <c r="G321" s="19">
        <v>672</v>
      </c>
      <c r="H321" s="166" t="s">
        <v>140</v>
      </c>
      <c r="I321" s="128">
        <v>100</v>
      </c>
      <c r="J321" s="171" t="s">
        <v>277</v>
      </c>
    </row>
    <row r="322" spans="1:10" ht="12.5" x14ac:dyDescent="0.35">
      <c r="A322" s="17">
        <v>234</v>
      </c>
      <c r="B322" s="18">
        <v>44287</v>
      </c>
      <c r="C322" s="126" t="str">
        <f>LOOKUP(B322,'HIDDEN DATA'!$A:$B,'HIDDEN DATA'!$C:$C)</f>
        <v>2020-2021</v>
      </c>
      <c r="D322" s="166" t="s">
        <v>185</v>
      </c>
      <c r="E322" s="127" t="str">
        <f>VLOOKUP(D322,'PLAN COMPTABLE'!$C:$D,2,0)</f>
        <v>Charge</v>
      </c>
      <c r="F322" s="166" t="s">
        <v>139</v>
      </c>
      <c r="G322" s="19">
        <v>673</v>
      </c>
      <c r="H322" s="166" t="s">
        <v>140</v>
      </c>
      <c r="I322" s="128">
        <v>200</v>
      </c>
      <c r="J322" s="171" t="s">
        <v>278</v>
      </c>
    </row>
    <row r="323" spans="1:10" ht="12.5" x14ac:dyDescent="0.35">
      <c r="A323" s="17">
        <v>235</v>
      </c>
      <c r="B323" s="18">
        <v>44291</v>
      </c>
      <c r="C323" s="126" t="str">
        <f>LOOKUP(B323,'HIDDEN DATA'!$A:$B,'HIDDEN DATA'!$C:$C)</f>
        <v>2020-2021</v>
      </c>
      <c r="D323" s="166" t="s">
        <v>252</v>
      </c>
      <c r="E323" s="127" t="str">
        <f>VLOOKUP(D323,'PLAN COMPTABLE'!$C:$D,2,0)</f>
        <v>Charge</v>
      </c>
      <c r="F323" s="166" t="s">
        <v>139</v>
      </c>
      <c r="G323" s="19">
        <v>674</v>
      </c>
      <c r="H323" s="166" t="s">
        <v>140</v>
      </c>
      <c r="I323" s="128">
        <v>100</v>
      </c>
      <c r="J323" s="171" t="s">
        <v>239</v>
      </c>
    </row>
    <row r="324" spans="1:10" ht="12.5" x14ac:dyDescent="0.35">
      <c r="A324" s="17">
        <v>236</v>
      </c>
      <c r="B324" s="18">
        <v>44292</v>
      </c>
      <c r="C324" s="126" t="str">
        <f>LOOKUP(B324,'HIDDEN DATA'!$A:$B,'HIDDEN DATA'!$C:$C)</f>
        <v>2020-2021</v>
      </c>
      <c r="D324" s="166" t="s">
        <v>209</v>
      </c>
      <c r="E324" s="127" t="str">
        <f>VLOOKUP(D324,'PLAN COMPTABLE'!$C:$D,2,0)</f>
        <v>Charge</v>
      </c>
      <c r="F324" s="166" t="s">
        <v>279</v>
      </c>
      <c r="G324" s="19" t="s">
        <v>267</v>
      </c>
      <c r="H324" s="166" t="s">
        <v>140</v>
      </c>
      <c r="I324" s="128">
        <v>400</v>
      </c>
      <c r="J324" s="171" t="s">
        <v>280</v>
      </c>
    </row>
    <row r="325" spans="1:10" ht="12.5" x14ac:dyDescent="0.35">
      <c r="A325" s="17">
        <v>237</v>
      </c>
      <c r="B325" s="18">
        <v>44293</v>
      </c>
      <c r="C325" s="126" t="str">
        <f>LOOKUP(B325,'HIDDEN DATA'!$A:$B,'HIDDEN DATA'!$C:$C)</f>
        <v>2020-2021</v>
      </c>
      <c r="D325" s="166" t="s">
        <v>215</v>
      </c>
      <c r="E325" s="127" t="str">
        <f>VLOOKUP(D325,'PLAN COMPTABLE'!$C:$D,2,0)</f>
        <v>Charge</v>
      </c>
      <c r="F325" s="166" t="s">
        <v>279</v>
      </c>
      <c r="G325" s="19" t="s">
        <v>267</v>
      </c>
      <c r="H325" s="166" t="s">
        <v>140</v>
      </c>
      <c r="I325" s="128">
        <v>150</v>
      </c>
      <c r="J325" s="171" t="s">
        <v>281</v>
      </c>
    </row>
    <row r="326" spans="1:10" ht="12.5" x14ac:dyDescent="0.35">
      <c r="A326" s="17">
        <v>238</v>
      </c>
      <c r="B326" s="18">
        <v>44294</v>
      </c>
      <c r="C326" s="126" t="str">
        <f>LOOKUP(B326,'HIDDEN DATA'!$A:$B,'HIDDEN DATA'!$C:$C)</f>
        <v>2020-2021</v>
      </c>
      <c r="D326" s="166" t="s">
        <v>215</v>
      </c>
      <c r="E326" s="127" t="str">
        <f>VLOOKUP(D326,'PLAN COMPTABLE'!$C:$D,2,0)</f>
        <v>Charge</v>
      </c>
      <c r="F326" s="166" t="s">
        <v>279</v>
      </c>
      <c r="G326" s="19" t="s">
        <v>267</v>
      </c>
      <c r="H326" s="166" t="s">
        <v>140</v>
      </c>
      <c r="I326" s="128">
        <v>150</v>
      </c>
      <c r="J326" s="171" t="s">
        <v>282</v>
      </c>
    </row>
    <row r="327" spans="1:10" ht="12.5" x14ac:dyDescent="0.35">
      <c r="A327" s="17">
        <v>239</v>
      </c>
      <c r="B327" s="18">
        <v>44294</v>
      </c>
      <c r="C327" s="126" t="str">
        <f>LOOKUP(B327,'HIDDEN DATA'!$A:$B,'HIDDEN DATA'!$C:$C)</f>
        <v>2020-2021</v>
      </c>
      <c r="D327" s="166" t="s">
        <v>499</v>
      </c>
      <c r="E327" s="127" t="str">
        <f>VLOOKUP(D327,'PLAN COMPTABLE'!$C:$D,2,0)</f>
        <v>Charge</v>
      </c>
      <c r="F327" s="166" t="s">
        <v>279</v>
      </c>
      <c r="G327" s="19" t="s">
        <v>267</v>
      </c>
      <c r="H327" s="166" t="s">
        <v>140</v>
      </c>
      <c r="I327" s="128">
        <v>231.92</v>
      </c>
      <c r="J327" s="171" t="s">
        <v>217</v>
      </c>
    </row>
    <row r="328" spans="1:10" ht="12.5" x14ac:dyDescent="0.35">
      <c r="A328" s="17">
        <v>240</v>
      </c>
      <c r="B328" s="18">
        <v>44294</v>
      </c>
      <c r="C328" s="126" t="str">
        <f>LOOKUP(B328,'HIDDEN DATA'!$A:$B,'HIDDEN DATA'!$C:$C)</f>
        <v>2020-2021</v>
      </c>
      <c r="D328" s="166" t="s">
        <v>499</v>
      </c>
      <c r="E328" s="127" t="str">
        <f>VLOOKUP(D328,'PLAN COMPTABLE'!$C:$D,2,0)</f>
        <v>Charge</v>
      </c>
      <c r="F328" s="166" t="s">
        <v>279</v>
      </c>
      <c r="G328" s="19" t="s">
        <v>267</v>
      </c>
      <c r="H328" s="166" t="s">
        <v>140</v>
      </c>
      <c r="I328" s="128">
        <v>100</v>
      </c>
      <c r="J328" s="171" t="s">
        <v>239</v>
      </c>
    </row>
    <row r="329" spans="1:10" ht="12.5" x14ac:dyDescent="0.35">
      <c r="A329" s="17">
        <v>241</v>
      </c>
      <c r="B329" s="18">
        <v>44294</v>
      </c>
      <c r="C329" s="126" t="str">
        <f>LOOKUP(B329,'HIDDEN DATA'!$A:$B,'HIDDEN DATA'!$C:$C)</f>
        <v>2020-2021</v>
      </c>
      <c r="D329" s="166" t="s">
        <v>177</v>
      </c>
      <c r="E329" s="127" t="str">
        <f>VLOOKUP(D329,'PLAN COMPTABLE'!$C:$D,2,0)</f>
        <v>Charge</v>
      </c>
      <c r="F329" s="166" t="s">
        <v>279</v>
      </c>
      <c r="G329" s="19" t="s">
        <v>267</v>
      </c>
      <c r="H329" s="166" t="s">
        <v>140</v>
      </c>
      <c r="I329" s="128">
        <v>10</v>
      </c>
      <c r="J329" s="171" t="s">
        <v>239</v>
      </c>
    </row>
    <row r="330" spans="1:10" ht="12.5" x14ac:dyDescent="0.35">
      <c r="A330" s="17">
        <v>242</v>
      </c>
      <c r="B330" s="18">
        <v>44473</v>
      </c>
      <c r="C330" s="126" t="str">
        <f>LOOKUP(B330,'HIDDEN DATA'!$A:$B,'HIDDEN DATA'!$C:$C)</f>
        <v>2021-2022</v>
      </c>
      <c r="D330" s="166" t="s">
        <v>204</v>
      </c>
      <c r="E330" s="127" t="str">
        <f>VLOOKUP(D330,'PLAN COMPTABLE'!$C:$D,2,0)</f>
        <v>Charge</v>
      </c>
      <c r="F330" s="166" t="s">
        <v>279</v>
      </c>
      <c r="G330" s="19" t="s">
        <v>267</v>
      </c>
      <c r="H330" s="166" t="s">
        <v>140</v>
      </c>
      <c r="I330" s="128">
        <v>144</v>
      </c>
      <c r="J330" s="171" t="s">
        <v>239</v>
      </c>
    </row>
    <row r="331" spans="1:10" ht="12.5" x14ac:dyDescent="0.35">
      <c r="A331" s="17">
        <v>243</v>
      </c>
      <c r="B331" s="18">
        <v>44496</v>
      </c>
      <c r="C331" s="126" t="str">
        <f>LOOKUP(B331,'HIDDEN DATA'!$A:$B,'HIDDEN DATA'!$C:$C)</f>
        <v>2021-2022</v>
      </c>
      <c r="D331" s="166" t="s">
        <v>195</v>
      </c>
      <c r="E331" s="127" t="str">
        <f>VLOOKUP(D331,'PLAN COMPTABLE'!$C:$D,2,0)</f>
        <v>Charge</v>
      </c>
      <c r="F331" s="166" t="s">
        <v>279</v>
      </c>
      <c r="G331" s="19" t="s">
        <v>267</v>
      </c>
      <c r="H331" s="166" t="s">
        <v>140</v>
      </c>
      <c r="I331" s="128">
        <v>6.21</v>
      </c>
      <c r="J331" s="171" t="s">
        <v>283</v>
      </c>
    </row>
    <row r="332" spans="1:10" ht="12.5" x14ac:dyDescent="0.35">
      <c r="A332" s="17">
        <v>244</v>
      </c>
      <c r="B332" s="18">
        <v>44496</v>
      </c>
      <c r="C332" s="126" t="str">
        <f>LOOKUP(B332,'HIDDEN DATA'!$A:$B,'HIDDEN DATA'!$C:$C)</f>
        <v>2021-2022</v>
      </c>
      <c r="D332" s="166" t="s">
        <v>195</v>
      </c>
      <c r="E332" s="127" t="str">
        <f>VLOOKUP(D332,'PLAN COMPTABLE'!$C:$D,2,0)</f>
        <v>Charge</v>
      </c>
      <c r="F332" s="166" t="s">
        <v>279</v>
      </c>
      <c r="G332" s="19" t="s">
        <v>267</v>
      </c>
      <c r="H332" s="166" t="s">
        <v>140</v>
      </c>
      <c r="I332" s="128">
        <v>9.14</v>
      </c>
      <c r="J332" s="171" t="s">
        <v>270</v>
      </c>
    </row>
    <row r="333" spans="1:10" ht="12.5" x14ac:dyDescent="0.35">
      <c r="A333" s="17">
        <v>245</v>
      </c>
      <c r="B333" s="18">
        <v>44496</v>
      </c>
      <c r="C333" s="126" t="str">
        <f>LOOKUP(B333,'HIDDEN DATA'!$A:$B,'HIDDEN DATA'!$C:$C)</f>
        <v>2021-2022</v>
      </c>
      <c r="D333" s="166" t="s">
        <v>156</v>
      </c>
      <c r="E333" s="127" t="str">
        <f>VLOOKUP(D333,'PLAN COMPTABLE'!$C:$D,2,0)</f>
        <v>Charge</v>
      </c>
      <c r="F333" s="166" t="s">
        <v>279</v>
      </c>
      <c r="G333" s="19" t="s">
        <v>267</v>
      </c>
      <c r="H333" s="166" t="s">
        <v>140</v>
      </c>
      <c r="I333" s="128">
        <v>5.69</v>
      </c>
      <c r="J333" s="171" t="s">
        <v>265</v>
      </c>
    </row>
    <row r="334" spans="1:10" ht="12.5" x14ac:dyDescent="0.35">
      <c r="A334" s="17">
        <v>246</v>
      </c>
      <c r="B334" s="18">
        <v>44505</v>
      </c>
      <c r="C334" s="126" t="str">
        <f>LOOKUP(B334,'HIDDEN DATA'!$A:$B,'HIDDEN DATA'!$C:$C)</f>
        <v>2021-2022</v>
      </c>
      <c r="D334" s="166" t="s">
        <v>146</v>
      </c>
      <c r="E334" s="127" t="str">
        <f>VLOOKUP(D334,'PLAN COMPTABLE'!$C:$D,2,0)</f>
        <v>Charge</v>
      </c>
      <c r="F334" s="166" t="s">
        <v>279</v>
      </c>
      <c r="G334" s="19" t="s">
        <v>267</v>
      </c>
      <c r="H334" s="166" t="s">
        <v>140</v>
      </c>
      <c r="I334" s="128">
        <v>17.989999999999998</v>
      </c>
      <c r="J334" s="171" t="s">
        <v>284</v>
      </c>
    </row>
    <row r="335" spans="1:10" ht="12.5" x14ac:dyDescent="0.35">
      <c r="A335" s="17">
        <v>247</v>
      </c>
      <c r="B335" s="18">
        <v>44510</v>
      </c>
      <c r="C335" s="126" t="str">
        <f>LOOKUP(B335,'HIDDEN DATA'!$A:$B,'HIDDEN DATA'!$C:$C)</f>
        <v>2021-2022</v>
      </c>
      <c r="D335" s="166" t="s">
        <v>146</v>
      </c>
      <c r="E335" s="127" t="str">
        <f>VLOOKUP(D335,'PLAN COMPTABLE'!$C:$D,2,0)</f>
        <v>Charge</v>
      </c>
      <c r="F335" s="166" t="s">
        <v>279</v>
      </c>
      <c r="G335" s="19" t="s">
        <v>267</v>
      </c>
      <c r="H335" s="166" t="s">
        <v>140</v>
      </c>
      <c r="I335" s="128">
        <v>13.47</v>
      </c>
      <c r="J335" s="171" t="s">
        <v>239</v>
      </c>
    </row>
    <row r="336" spans="1:10" ht="12.5" x14ac:dyDescent="0.35">
      <c r="A336" s="17">
        <v>248</v>
      </c>
      <c r="B336" s="18">
        <v>44520</v>
      </c>
      <c r="C336" s="126" t="str">
        <f>LOOKUP(B336,'HIDDEN DATA'!$A:$B,'HIDDEN DATA'!$C:$C)</f>
        <v>2021-2022</v>
      </c>
      <c r="D336" s="166" t="s">
        <v>195</v>
      </c>
      <c r="E336" s="127" t="str">
        <f>VLOOKUP(D336,'PLAN COMPTABLE'!$C:$D,2,0)</f>
        <v>Charge</v>
      </c>
      <c r="F336" s="166" t="s">
        <v>279</v>
      </c>
      <c r="G336" s="19" t="s">
        <v>267</v>
      </c>
      <c r="H336" s="166" t="s">
        <v>140</v>
      </c>
      <c r="I336" s="128">
        <v>10.06</v>
      </c>
      <c r="J336" s="171" t="s">
        <v>270</v>
      </c>
    </row>
    <row r="337" spans="1:10" ht="12.5" x14ac:dyDescent="0.35">
      <c r="A337" s="17">
        <v>249</v>
      </c>
      <c r="B337" s="18">
        <v>44522</v>
      </c>
      <c r="C337" s="126" t="str">
        <f>LOOKUP(B337,'HIDDEN DATA'!$A:$B,'HIDDEN DATA'!$C:$C)</f>
        <v>2021-2022</v>
      </c>
      <c r="D337" s="166" t="s">
        <v>175</v>
      </c>
      <c r="E337" s="127" t="str">
        <f>VLOOKUP(D337,'PLAN COMPTABLE'!$C:$D,2,0)</f>
        <v>Charge</v>
      </c>
      <c r="F337" s="166" t="s">
        <v>279</v>
      </c>
      <c r="G337" s="19" t="s">
        <v>267</v>
      </c>
      <c r="H337" s="166" t="s">
        <v>140</v>
      </c>
      <c r="I337" s="128">
        <v>1500</v>
      </c>
      <c r="J337" s="171" t="s">
        <v>72</v>
      </c>
    </row>
    <row r="338" spans="1:10" ht="12.5" x14ac:dyDescent="0.35">
      <c r="A338" s="17">
        <v>250</v>
      </c>
      <c r="B338" s="18">
        <v>44523</v>
      </c>
      <c r="C338" s="126" t="str">
        <f>LOOKUP(B338,'HIDDEN DATA'!$A:$B,'HIDDEN DATA'!$C:$C)</f>
        <v>2021-2022</v>
      </c>
      <c r="D338" s="166" t="s">
        <v>209</v>
      </c>
      <c r="E338" s="127" t="str">
        <f>VLOOKUP(D338,'PLAN COMPTABLE'!$C:$D,2,0)</f>
        <v>Charge</v>
      </c>
      <c r="F338" s="166" t="s">
        <v>279</v>
      </c>
      <c r="G338" s="19" t="s">
        <v>267</v>
      </c>
      <c r="H338" s="166" t="s">
        <v>140</v>
      </c>
      <c r="I338" s="128">
        <v>250</v>
      </c>
      <c r="J338" s="171" t="s">
        <v>285</v>
      </c>
    </row>
    <row r="339" spans="1:10" ht="12.5" x14ac:dyDescent="0.35">
      <c r="A339" s="17">
        <v>251</v>
      </c>
      <c r="B339" s="18">
        <v>44523</v>
      </c>
      <c r="C339" s="126" t="str">
        <f>LOOKUP(B339,'HIDDEN DATA'!$A:$B,'HIDDEN DATA'!$C:$C)</f>
        <v>2021-2022</v>
      </c>
      <c r="D339" s="166" t="s">
        <v>167</v>
      </c>
      <c r="E339" s="127" t="str">
        <f>VLOOKUP(D339,'PLAN COMPTABLE'!$C:$D,2,0)</f>
        <v>Produit</v>
      </c>
      <c r="F339" s="166" t="s">
        <v>279</v>
      </c>
      <c r="G339" s="19" t="s">
        <v>267</v>
      </c>
      <c r="H339" s="166" t="s">
        <v>140</v>
      </c>
      <c r="I339" s="128">
        <v>3685.5</v>
      </c>
      <c r="J339" s="171" t="s">
        <v>286</v>
      </c>
    </row>
    <row r="340" spans="1:10" ht="12.5" x14ac:dyDescent="0.35">
      <c r="A340" s="17">
        <v>252</v>
      </c>
      <c r="B340" s="18">
        <v>44506</v>
      </c>
      <c r="C340" s="126" t="str">
        <f>LOOKUP(B340,'HIDDEN DATA'!$A:$B,'HIDDEN DATA'!$C:$C)</f>
        <v>2021-2022</v>
      </c>
      <c r="D340" s="166" t="s">
        <v>156</v>
      </c>
      <c r="E340" s="127" t="str">
        <f>VLOOKUP(D340,'PLAN COMPTABLE'!$C:$D,2,0)</f>
        <v>Charge</v>
      </c>
      <c r="F340" s="166" t="s">
        <v>279</v>
      </c>
      <c r="G340" s="19" t="s">
        <v>267</v>
      </c>
      <c r="H340" s="166" t="s">
        <v>140</v>
      </c>
      <c r="I340" s="128">
        <v>12.75</v>
      </c>
      <c r="J340" s="171" t="s">
        <v>265</v>
      </c>
    </row>
    <row r="341" spans="1:10" ht="12.5" x14ac:dyDescent="0.35">
      <c r="A341" s="17">
        <v>253</v>
      </c>
      <c r="B341" s="18">
        <v>44506</v>
      </c>
      <c r="C341" s="126" t="str">
        <f>LOOKUP(B341,'HIDDEN DATA'!$A:$B,'HIDDEN DATA'!$C:$C)</f>
        <v>2021-2022</v>
      </c>
      <c r="D341" s="166" t="s">
        <v>156</v>
      </c>
      <c r="E341" s="127" t="str">
        <f>VLOOKUP(D341,'PLAN COMPTABLE'!$C:$D,2,0)</f>
        <v>Charge</v>
      </c>
      <c r="F341" s="166" t="s">
        <v>279</v>
      </c>
      <c r="G341" s="19" t="s">
        <v>267</v>
      </c>
      <c r="H341" s="166" t="s">
        <v>140</v>
      </c>
      <c r="I341" s="128">
        <v>20</v>
      </c>
      <c r="J341" s="171" t="s">
        <v>265</v>
      </c>
    </row>
    <row r="342" spans="1:10" ht="12.5" x14ac:dyDescent="0.35">
      <c r="A342" s="17">
        <v>254</v>
      </c>
      <c r="B342" s="18">
        <v>44506</v>
      </c>
      <c r="C342" s="126" t="str">
        <f>LOOKUP(B342,'HIDDEN DATA'!$A:$B,'HIDDEN DATA'!$C:$C)</f>
        <v>2021-2022</v>
      </c>
      <c r="D342" s="166" t="s">
        <v>156</v>
      </c>
      <c r="E342" s="127" t="str">
        <f>VLOOKUP(D342,'PLAN COMPTABLE'!$C:$D,2,0)</f>
        <v>Charge</v>
      </c>
      <c r="F342" s="166" t="s">
        <v>279</v>
      </c>
      <c r="G342" s="19" t="s">
        <v>267</v>
      </c>
      <c r="H342" s="166" t="s">
        <v>140</v>
      </c>
      <c r="I342" s="128">
        <v>53.15</v>
      </c>
      <c r="J342" s="171" t="s">
        <v>265</v>
      </c>
    </row>
    <row r="343" spans="1:10" ht="12.5" x14ac:dyDescent="0.35">
      <c r="A343" s="17">
        <v>255</v>
      </c>
      <c r="B343" s="18">
        <v>44506</v>
      </c>
      <c r="C343" s="126" t="str">
        <f>LOOKUP(B343,'HIDDEN DATA'!$A:$B,'HIDDEN DATA'!$C:$C)</f>
        <v>2021-2022</v>
      </c>
      <c r="D343" s="166" t="s">
        <v>156</v>
      </c>
      <c r="E343" s="127" t="str">
        <f>VLOOKUP(D343,'PLAN COMPTABLE'!$C:$D,2,0)</f>
        <v>Charge</v>
      </c>
      <c r="F343" s="166" t="s">
        <v>279</v>
      </c>
      <c r="G343" s="19" t="s">
        <v>267</v>
      </c>
      <c r="H343" s="166" t="s">
        <v>140</v>
      </c>
      <c r="I343" s="128">
        <v>6.83</v>
      </c>
      <c r="J343" s="171" t="s">
        <v>265</v>
      </c>
    </row>
    <row r="344" spans="1:10" ht="12.5" x14ac:dyDescent="0.35">
      <c r="A344" s="17">
        <v>256</v>
      </c>
      <c r="B344" s="18">
        <v>44509</v>
      </c>
      <c r="C344" s="126" t="str">
        <f>LOOKUP(B344,'HIDDEN DATA'!$A:$B,'HIDDEN DATA'!$C:$C)</f>
        <v>2021-2022</v>
      </c>
      <c r="D344" s="166" t="s">
        <v>153</v>
      </c>
      <c r="E344" s="127" t="str">
        <f>VLOOKUP(D344,'PLAN COMPTABLE'!$C:$D,2,0)</f>
        <v>Charge</v>
      </c>
      <c r="F344" s="166" t="s">
        <v>279</v>
      </c>
      <c r="G344" s="19" t="s">
        <v>267</v>
      </c>
      <c r="H344" s="166" t="s">
        <v>140</v>
      </c>
      <c r="I344" s="128">
        <v>500</v>
      </c>
      <c r="J344" s="171" t="s">
        <v>287</v>
      </c>
    </row>
    <row r="345" spans="1:10" ht="12.5" x14ac:dyDescent="0.35">
      <c r="A345" s="17">
        <v>257</v>
      </c>
      <c r="B345" s="18">
        <v>44509</v>
      </c>
      <c r="C345" s="126" t="str">
        <f>LOOKUP(B345,'HIDDEN DATA'!$A:$B,'HIDDEN DATA'!$C:$C)</f>
        <v>2021-2022</v>
      </c>
      <c r="D345" s="166" t="s">
        <v>156</v>
      </c>
      <c r="E345" s="127" t="str">
        <f>VLOOKUP(D345,'PLAN COMPTABLE'!$C:$D,2,0)</f>
        <v>Charge</v>
      </c>
      <c r="F345" s="166" t="s">
        <v>279</v>
      </c>
      <c r="G345" s="19" t="s">
        <v>267</v>
      </c>
      <c r="H345" s="166" t="s">
        <v>140</v>
      </c>
      <c r="I345" s="128">
        <v>175</v>
      </c>
      <c r="J345" s="171" t="s">
        <v>288</v>
      </c>
    </row>
    <row r="346" spans="1:10" ht="12.5" x14ac:dyDescent="0.35">
      <c r="A346" s="17">
        <v>258</v>
      </c>
      <c r="B346" s="18">
        <v>44564</v>
      </c>
      <c r="C346" s="126" t="str">
        <f>LOOKUP(B346,'HIDDEN DATA'!$A:$B,'HIDDEN DATA'!$C:$C)</f>
        <v>2021-2022</v>
      </c>
      <c r="D346" s="166" t="s">
        <v>257</v>
      </c>
      <c r="E346" s="127" t="str">
        <f>VLOOKUP(D346,'PLAN COMPTABLE'!$C:$D,2,0)</f>
        <v>Produit</v>
      </c>
      <c r="F346" s="166" t="s">
        <v>279</v>
      </c>
      <c r="G346" s="19" t="s">
        <v>267</v>
      </c>
      <c r="H346" s="166" t="s">
        <v>140</v>
      </c>
      <c r="I346" s="128">
        <v>75</v>
      </c>
      <c r="J346" s="171" t="s">
        <v>289</v>
      </c>
    </row>
    <row r="347" spans="1:10" ht="12.5" x14ac:dyDescent="0.35">
      <c r="A347" s="17">
        <v>259</v>
      </c>
      <c r="B347" s="18">
        <v>44593</v>
      </c>
      <c r="C347" s="126" t="str">
        <f>LOOKUP(B347,'HIDDEN DATA'!$A:$B,'HIDDEN DATA'!$C:$C)</f>
        <v>2021-2022</v>
      </c>
      <c r="D347" s="166" t="s">
        <v>146</v>
      </c>
      <c r="E347" s="127" t="str">
        <f>VLOOKUP(D347,'PLAN COMPTABLE'!$C:$D,2,0)</f>
        <v>Charge</v>
      </c>
      <c r="F347" s="166" t="s">
        <v>279</v>
      </c>
      <c r="G347" s="19" t="s">
        <v>267</v>
      </c>
      <c r="H347" s="166" t="s">
        <v>140</v>
      </c>
      <c r="I347" s="128">
        <v>21.99</v>
      </c>
      <c r="J347" s="171" t="s">
        <v>284</v>
      </c>
    </row>
    <row r="348" spans="1:10" ht="12.5" x14ac:dyDescent="0.35">
      <c r="A348" s="17">
        <v>260</v>
      </c>
      <c r="B348" s="18">
        <v>44607</v>
      </c>
      <c r="C348" s="126" t="str">
        <f>LOOKUP(B348,'HIDDEN DATA'!$A:$B,'HIDDEN DATA'!$C:$C)</f>
        <v>2021-2022</v>
      </c>
      <c r="D348" s="166" t="s">
        <v>174</v>
      </c>
      <c r="E348" s="127" t="str">
        <f>VLOOKUP(D348,'PLAN COMPTABLE'!$C:$D,2,0)</f>
        <v>Produit</v>
      </c>
      <c r="F348" s="166" t="s">
        <v>279</v>
      </c>
      <c r="G348" s="19" t="s">
        <v>267</v>
      </c>
      <c r="H348" s="166" t="s">
        <v>140</v>
      </c>
      <c r="I348" s="128">
        <v>4343.5</v>
      </c>
      <c r="J348" s="171" t="s">
        <v>286</v>
      </c>
    </row>
    <row r="349" spans="1:10" ht="12.5" x14ac:dyDescent="0.35">
      <c r="A349" s="17">
        <v>261</v>
      </c>
      <c r="B349" s="18">
        <v>44627</v>
      </c>
      <c r="C349" s="126" t="str">
        <f>LOOKUP(B349,'HIDDEN DATA'!$A:$B,'HIDDEN DATA'!$C:$C)</f>
        <v>2021-2022</v>
      </c>
      <c r="D349" s="166" t="s">
        <v>183</v>
      </c>
      <c r="E349" s="127" t="str">
        <f>VLOOKUP(D349,'PLAN COMPTABLE'!$C:$D,2,0)</f>
        <v>Charge</v>
      </c>
      <c r="F349" s="166" t="s">
        <v>279</v>
      </c>
      <c r="G349" s="19" t="s">
        <v>267</v>
      </c>
      <c r="H349" s="166" t="s">
        <v>140</v>
      </c>
      <c r="I349" s="128">
        <v>55.22</v>
      </c>
      <c r="J349" s="171" t="s">
        <v>290</v>
      </c>
    </row>
    <row r="350" spans="1:10" ht="12.5" x14ac:dyDescent="0.35">
      <c r="A350" s="17">
        <v>262</v>
      </c>
      <c r="B350" s="18">
        <v>44628</v>
      </c>
      <c r="C350" s="126" t="str">
        <f>LOOKUP(B350,'HIDDEN DATA'!$A:$B,'HIDDEN DATA'!$C:$C)</f>
        <v>2021-2022</v>
      </c>
      <c r="D350" s="166" t="s">
        <v>291</v>
      </c>
      <c r="E350" s="127" t="str">
        <f>VLOOKUP(D350,'PLAN COMPTABLE'!$C:$D,2,0)</f>
        <v>Charge</v>
      </c>
      <c r="F350" s="166" t="s">
        <v>279</v>
      </c>
      <c r="G350" s="19" t="s">
        <v>267</v>
      </c>
      <c r="H350" s="166" t="s">
        <v>140</v>
      </c>
      <c r="I350" s="128">
        <v>356.68</v>
      </c>
      <c r="J350" s="171" t="s">
        <v>270</v>
      </c>
    </row>
    <row r="351" spans="1:10" ht="12.5" x14ac:dyDescent="0.35">
      <c r="A351" s="17">
        <v>263</v>
      </c>
      <c r="B351" s="18">
        <v>44633</v>
      </c>
      <c r="C351" s="126" t="str">
        <f>LOOKUP(B351,'HIDDEN DATA'!$A:$B,'HIDDEN DATA'!$C:$C)</f>
        <v>2021-2022</v>
      </c>
      <c r="D351" s="166" t="s">
        <v>183</v>
      </c>
      <c r="E351" s="127" t="str">
        <f>VLOOKUP(D351,'PLAN COMPTABLE'!$C:$D,2,0)</f>
        <v>Charge</v>
      </c>
      <c r="F351" s="166" t="s">
        <v>279</v>
      </c>
      <c r="G351" s="19" t="s">
        <v>267</v>
      </c>
      <c r="H351" s="166" t="s">
        <v>140</v>
      </c>
      <c r="I351" s="128">
        <v>264.73</v>
      </c>
      <c r="J351" s="171" t="s">
        <v>290</v>
      </c>
    </row>
    <row r="352" spans="1:10" ht="12.5" x14ac:dyDescent="0.35">
      <c r="A352" s="17">
        <v>264</v>
      </c>
      <c r="B352" s="18">
        <v>44633</v>
      </c>
      <c r="C352" s="126" t="str">
        <f>LOOKUP(B352,'HIDDEN DATA'!$A:$B,'HIDDEN DATA'!$C:$C)</f>
        <v>2021-2022</v>
      </c>
      <c r="D352" s="166" t="s">
        <v>183</v>
      </c>
      <c r="E352" s="127" t="str">
        <f>VLOOKUP(D352,'PLAN COMPTABLE'!$C:$D,2,0)</f>
        <v>Charge</v>
      </c>
      <c r="F352" s="166" t="s">
        <v>279</v>
      </c>
      <c r="G352" s="19" t="s">
        <v>267</v>
      </c>
      <c r="H352" s="166" t="s">
        <v>140</v>
      </c>
      <c r="I352" s="128">
        <v>326.48</v>
      </c>
      <c r="J352" s="171" t="s">
        <v>290</v>
      </c>
    </row>
    <row r="353" spans="1:10" ht="12.5" x14ac:dyDescent="0.35">
      <c r="A353" s="17">
        <v>265</v>
      </c>
      <c r="B353" s="18">
        <v>44637</v>
      </c>
      <c r="C353" s="126" t="str">
        <f>LOOKUP(B353,'HIDDEN DATA'!$A:$B,'HIDDEN DATA'!$C:$C)</f>
        <v>2021-2022</v>
      </c>
      <c r="D353" s="166" t="s">
        <v>183</v>
      </c>
      <c r="E353" s="127" t="str">
        <f>VLOOKUP(D353,'PLAN COMPTABLE'!$C:$D,2,0)</f>
        <v>Charge</v>
      </c>
      <c r="F353" s="166" t="s">
        <v>279</v>
      </c>
      <c r="G353" s="19" t="s">
        <v>267</v>
      </c>
      <c r="H353" s="166" t="s">
        <v>140</v>
      </c>
      <c r="I353" s="128">
        <v>109.09</v>
      </c>
      <c r="J353" s="171" t="s">
        <v>290</v>
      </c>
    </row>
    <row r="354" spans="1:10" ht="12.5" x14ac:dyDescent="0.35">
      <c r="A354" s="17">
        <v>266</v>
      </c>
      <c r="B354" s="18">
        <v>44650</v>
      </c>
      <c r="C354" s="126" t="str">
        <f>LOOKUP(B354,'HIDDEN DATA'!$A:$B,'HIDDEN DATA'!$C:$C)</f>
        <v>2021-2022</v>
      </c>
      <c r="D354" s="166" t="s">
        <v>292</v>
      </c>
      <c r="E354" s="127" t="str">
        <f>VLOOKUP(D354,'PLAN COMPTABLE'!$C:$D,2,0)</f>
        <v>Produit</v>
      </c>
      <c r="F354" s="166" t="s">
        <v>279</v>
      </c>
      <c r="G354" s="19" t="s">
        <v>267</v>
      </c>
      <c r="H354" s="166" t="s">
        <v>140</v>
      </c>
      <c r="I354" s="128">
        <v>600</v>
      </c>
      <c r="J354" s="171" t="s">
        <v>293</v>
      </c>
    </row>
    <row r="355" spans="1:10" ht="12.5" x14ac:dyDescent="0.35">
      <c r="A355" s="17">
        <v>267</v>
      </c>
      <c r="B355" s="18">
        <v>44650</v>
      </c>
      <c r="C355" s="126" t="str">
        <f>LOOKUP(B355,'HIDDEN DATA'!$A:$B,'HIDDEN DATA'!$C:$C)</f>
        <v>2021-2022</v>
      </c>
      <c r="D355" s="166" t="s">
        <v>499</v>
      </c>
      <c r="E355" s="127" t="str">
        <f>VLOOKUP(D355,'PLAN COMPTABLE'!$C:$D,2,0)</f>
        <v>Charge</v>
      </c>
      <c r="F355" s="166" t="s">
        <v>279</v>
      </c>
      <c r="G355" s="19" t="s">
        <v>267</v>
      </c>
      <c r="H355" s="166" t="s">
        <v>140</v>
      </c>
      <c r="I355" s="128">
        <v>300</v>
      </c>
      <c r="J355" s="171" t="s">
        <v>294</v>
      </c>
    </row>
    <row r="356" spans="1:10" ht="12.5" x14ac:dyDescent="0.35">
      <c r="A356" s="17">
        <v>268</v>
      </c>
      <c r="B356" s="18">
        <v>44650</v>
      </c>
      <c r="C356" s="126" t="str">
        <f>LOOKUP(B356,'HIDDEN DATA'!$A:$B,'HIDDEN DATA'!$C:$C)</f>
        <v>2021-2022</v>
      </c>
      <c r="D356" s="166" t="s">
        <v>185</v>
      </c>
      <c r="E356" s="127" t="str">
        <f>VLOOKUP(D356,'PLAN COMPTABLE'!$C:$D,2,0)</f>
        <v>Charge</v>
      </c>
      <c r="F356" s="166" t="s">
        <v>279</v>
      </c>
      <c r="G356" s="19" t="s">
        <v>267</v>
      </c>
      <c r="H356" s="166" t="s">
        <v>140</v>
      </c>
      <c r="I356" s="128">
        <v>550</v>
      </c>
      <c r="J356" s="171" t="s">
        <v>295</v>
      </c>
    </row>
    <row r="357" spans="1:10" ht="12.5" x14ac:dyDescent="0.35">
      <c r="A357" s="17">
        <v>269</v>
      </c>
      <c r="B357" s="18">
        <v>44650</v>
      </c>
      <c r="C357" s="126" t="str">
        <f>LOOKUP(B357,'HIDDEN DATA'!$A:$B,'HIDDEN DATA'!$C:$C)</f>
        <v>2021-2022</v>
      </c>
      <c r="D357" s="166" t="s">
        <v>154</v>
      </c>
      <c r="E357" s="127" t="str">
        <f>VLOOKUP(D357,'PLAN COMPTABLE'!$C:$D,2,0)</f>
        <v>Charge</v>
      </c>
      <c r="F357" s="166" t="s">
        <v>279</v>
      </c>
      <c r="G357" s="19" t="s">
        <v>267</v>
      </c>
      <c r="H357" s="166" t="s">
        <v>140</v>
      </c>
      <c r="I357" s="128">
        <v>12</v>
      </c>
      <c r="J357" s="171" t="s">
        <v>296</v>
      </c>
    </row>
    <row r="358" spans="1:10" ht="12.5" x14ac:dyDescent="0.35">
      <c r="A358" s="17">
        <v>270</v>
      </c>
      <c r="B358" s="18">
        <v>44655</v>
      </c>
      <c r="C358" s="126" t="str">
        <f>LOOKUP(B358,'HIDDEN DATA'!$A:$B,'HIDDEN DATA'!$C:$C)</f>
        <v>2021-2022</v>
      </c>
      <c r="D358" s="166" t="s">
        <v>219</v>
      </c>
      <c r="E358" s="127" t="str">
        <f>VLOOKUP(D358,'PLAN COMPTABLE'!$C:$D,2,0)</f>
        <v>Charge</v>
      </c>
      <c r="F358" s="166" t="s">
        <v>279</v>
      </c>
      <c r="G358" s="19" t="s">
        <v>267</v>
      </c>
      <c r="H358" s="166" t="s">
        <v>140</v>
      </c>
      <c r="I358" s="128">
        <v>200</v>
      </c>
      <c r="J358" s="171" t="s">
        <v>297</v>
      </c>
    </row>
    <row r="359" spans="1:10" ht="12.5" x14ac:dyDescent="0.35">
      <c r="A359" s="17">
        <v>271</v>
      </c>
      <c r="B359" s="18">
        <v>44655</v>
      </c>
      <c r="C359" s="126" t="str">
        <f>LOOKUP(B359,'HIDDEN DATA'!$A:$B,'HIDDEN DATA'!$C:$C)</f>
        <v>2021-2022</v>
      </c>
      <c r="D359" s="166" t="s">
        <v>191</v>
      </c>
      <c r="E359" s="127" t="str">
        <f>VLOOKUP(D359,'PLAN COMPTABLE'!$C:$D,2,0)</f>
        <v>Charge</v>
      </c>
      <c r="F359" s="166" t="s">
        <v>279</v>
      </c>
      <c r="G359" s="19" t="s">
        <v>267</v>
      </c>
      <c r="H359" s="166" t="s">
        <v>140</v>
      </c>
      <c r="I359" s="128">
        <v>450</v>
      </c>
      <c r="J359" s="171" t="s">
        <v>298</v>
      </c>
    </row>
    <row r="360" spans="1:10" ht="12.5" x14ac:dyDescent="0.35">
      <c r="A360" s="17">
        <v>272</v>
      </c>
      <c r="B360" s="18">
        <v>44628</v>
      </c>
      <c r="C360" s="126" t="str">
        <f>LOOKUP(B360,'HIDDEN DATA'!$A:$B,'HIDDEN DATA'!$C:$C)</f>
        <v>2021-2022</v>
      </c>
      <c r="D360" s="166" t="s">
        <v>183</v>
      </c>
      <c r="E360" s="127" t="str">
        <f>VLOOKUP(D360,'PLAN COMPTABLE'!$C:$D,2,0)</f>
        <v>Charge</v>
      </c>
      <c r="F360" s="166" t="s">
        <v>279</v>
      </c>
      <c r="G360" s="19" t="s">
        <v>267</v>
      </c>
      <c r="H360" s="166" t="s">
        <v>140</v>
      </c>
      <c r="I360" s="128">
        <v>450</v>
      </c>
      <c r="J360" s="171" t="s">
        <v>299</v>
      </c>
    </row>
    <row r="361" spans="1:10" ht="12.5" x14ac:dyDescent="0.35">
      <c r="A361" s="17">
        <v>273</v>
      </c>
      <c r="B361" s="18">
        <v>44650</v>
      </c>
      <c r="C361" s="126" t="str">
        <f>LOOKUP(B361,'HIDDEN DATA'!$A:$B,'HIDDEN DATA'!$C:$C)</f>
        <v>2021-2022</v>
      </c>
      <c r="D361" s="166" t="s">
        <v>185</v>
      </c>
      <c r="E361" s="127" t="str">
        <f>VLOOKUP(D361,'PLAN COMPTABLE'!$C:$D,2,0)</f>
        <v>Charge</v>
      </c>
      <c r="F361" s="166" t="s">
        <v>279</v>
      </c>
      <c r="G361" s="19" t="s">
        <v>267</v>
      </c>
      <c r="H361" s="166" t="s">
        <v>140</v>
      </c>
      <c r="I361" s="128">
        <v>400</v>
      </c>
      <c r="J361" s="171" t="s">
        <v>300</v>
      </c>
    </row>
    <row r="362" spans="1:10" ht="12.5" x14ac:dyDescent="0.35">
      <c r="A362" s="17">
        <v>274</v>
      </c>
      <c r="B362" s="18">
        <v>44651</v>
      </c>
      <c r="C362" s="126" t="str">
        <f>LOOKUP(B362,'HIDDEN DATA'!$A:$B,'HIDDEN DATA'!$C:$C)</f>
        <v>2021-2022</v>
      </c>
      <c r="D362" s="166" t="s">
        <v>185</v>
      </c>
      <c r="E362" s="127" t="str">
        <f>VLOOKUP(D362,'PLAN COMPTABLE'!$C:$D,2,0)</f>
        <v>Charge</v>
      </c>
      <c r="F362" s="166" t="s">
        <v>279</v>
      </c>
      <c r="G362" s="19" t="s">
        <v>267</v>
      </c>
      <c r="H362" s="166" t="s">
        <v>140</v>
      </c>
      <c r="I362" s="128">
        <v>400</v>
      </c>
      <c r="J362" s="171" t="s">
        <v>300</v>
      </c>
    </row>
    <row r="363" spans="1:10" ht="12.5" x14ac:dyDescent="0.35">
      <c r="A363" s="17">
        <v>275</v>
      </c>
      <c r="B363" s="18">
        <v>44651</v>
      </c>
      <c r="C363" s="126" t="str">
        <f>LOOKUP(B363,'HIDDEN DATA'!$A:$B,'HIDDEN DATA'!$C:$C)</f>
        <v>2021-2022</v>
      </c>
      <c r="D363" s="166" t="s">
        <v>185</v>
      </c>
      <c r="E363" s="127" t="str">
        <f>VLOOKUP(D363,'PLAN COMPTABLE'!$C:$D,2,0)</f>
        <v>Charge</v>
      </c>
      <c r="F363" s="166" t="s">
        <v>279</v>
      </c>
      <c r="G363" s="19" t="s">
        <v>267</v>
      </c>
      <c r="H363" s="166" t="s">
        <v>140</v>
      </c>
      <c r="I363" s="128">
        <v>150</v>
      </c>
      <c r="J363" s="171" t="s">
        <v>300</v>
      </c>
    </row>
    <row r="364" spans="1:10" ht="12.5" x14ac:dyDescent="0.35">
      <c r="A364" s="17">
        <v>276</v>
      </c>
      <c r="B364" s="18">
        <v>44651</v>
      </c>
      <c r="C364" s="126" t="str">
        <f>LOOKUP(B364,'HIDDEN DATA'!$A:$B,'HIDDEN DATA'!$C:$C)</f>
        <v>2021-2022</v>
      </c>
      <c r="D364" s="166" t="s">
        <v>301</v>
      </c>
      <c r="E364" s="127" t="str">
        <f>VLOOKUP(D364,'PLAN COMPTABLE'!$C:$D,2,0)</f>
        <v>Charge</v>
      </c>
      <c r="F364" s="166" t="s">
        <v>279</v>
      </c>
      <c r="G364" s="19" t="s">
        <v>267</v>
      </c>
      <c r="H364" s="166" t="s">
        <v>140</v>
      </c>
      <c r="I364" s="128">
        <v>480</v>
      </c>
      <c r="J364" s="171" t="s">
        <v>302</v>
      </c>
    </row>
    <row r="365" spans="1:10" ht="12.5" x14ac:dyDescent="0.35">
      <c r="A365" s="17">
        <v>277</v>
      </c>
      <c r="B365" s="18">
        <v>44652</v>
      </c>
      <c r="C365" s="126" t="str">
        <f>LOOKUP(B365,'HIDDEN DATA'!$A:$B,'HIDDEN DATA'!$C:$C)</f>
        <v>2021-2022</v>
      </c>
      <c r="D365" s="166" t="s">
        <v>215</v>
      </c>
      <c r="E365" s="127" t="str">
        <f>VLOOKUP(D365,'PLAN COMPTABLE'!$C:$D,2,0)</f>
        <v>Charge</v>
      </c>
      <c r="F365" s="166" t="s">
        <v>279</v>
      </c>
      <c r="G365" s="19" t="s">
        <v>267</v>
      </c>
      <c r="H365" s="166" t="s">
        <v>140</v>
      </c>
      <c r="I365" s="128">
        <v>720</v>
      </c>
      <c r="J365" s="171" t="s">
        <v>303</v>
      </c>
    </row>
    <row r="366" spans="1:10" ht="12.5" x14ac:dyDescent="0.35">
      <c r="A366" s="17">
        <v>278</v>
      </c>
      <c r="B366" s="18">
        <v>44669</v>
      </c>
      <c r="C366" s="126" t="str">
        <f>LOOKUP(B366,'HIDDEN DATA'!$A:$B,'HIDDEN DATA'!$C:$C)</f>
        <v>2021-2022</v>
      </c>
      <c r="D366" s="166" t="s">
        <v>185</v>
      </c>
      <c r="E366" s="127" t="str">
        <f>VLOOKUP(D366,'PLAN COMPTABLE'!$C:$D,2,0)</f>
        <v>Charge</v>
      </c>
      <c r="F366" s="166" t="s">
        <v>279</v>
      </c>
      <c r="G366" s="19" t="s">
        <v>267</v>
      </c>
      <c r="H366" s="166" t="s">
        <v>140</v>
      </c>
      <c r="I366" s="128">
        <v>300</v>
      </c>
      <c r="J366" s="171" t="s">
        <v>304</v>
      </c>
    </row>
    <row r="367" spans="1:10" ht="12.5" x14ac:dyDescent="0.35">
      <c r="A367" s="17">
        <v>279</v>
      </c>
      <c r="B367" s="18">
        <v>44692</v>
      </c>
      <c r="C367" s="126" t="str">
        <f>LOOKUP(B367,'HIDDEN DATA'!$A:$B,'HIDDEN DATA'!$C:$C)</f>
        <v>2021-2022</v>
      </c>
      <c r="D367" s="166" t="s">
        <v>185</v>
      </c>
      <c r="E367" s="127" t="str">
        <f>VLOOKUP(D367,'PLAN COMPTABLE'!$C:$D,2,0)</f>
        <v>Charge</v>
      </c>
      <c r="F367" s="166" t="s">
        <v>279</v>
      </c>
      <c r="G367" s="19" t="s">
        <v>267</v>
      </c>
      <c r="H367" s="166" t="s">
        <v>140</v>
      </c>
      <c r="I367" s="128">
        <v>450</v>
      </c>
      <c r="J367" s="171" t="s">
        <v>305</v>
      </c>
    </row>
    <row r="368" spans="1:10" ht="12.5" x14ac:dyDescent="0.35">
      <c r="A368" s="17">
        <v>280</v>
      </c>
      <c r="B368" s="18">
        <v>44725</v>
      </c>
      <c r="C368" s="126" t="str">
        <f>LOOKUP(B368,'HIDDEN DATA'!$A:$B,'HIDDEN DATA'!$C:$C)</f>
        <v>2021-2022</v>
      </c>
      <c r="D368" s="166" t="s">
        <v>169</v>
      </c>
      <c r="E368" s="127" t="str">
        <f>VLOOKUP(D368,'PLAN COMPTABLE'!$C:$D,2,0)</f>
        <v>Produit</v>
      </c>
      <c r="F368" s="166" t="s">
        <v>279</v>
      </c>
      <c r="G368" s="19" t="s">
        <v>267</v>
      </c>
      <c r="H368" s="166" t="s">
        <v>140</v>
      </c>
      <c r="I368" s="128">
        <v>2676</v>
      </c>
      <c r="J368" s="171" t="s">
        <v>286</v>
      </c>
    </row>
    <row r="369" spans="1:10" ht="12.5" x14ac:dyDescent="0.35">
      <c r="A369" s="17">
        <v>281</v>
      </c>
      <c r="B369" s="18">
        <v>44854</v>
      </c>
      <c r="C369" s="126" t="str">
        <f>LOOKUP(B369,'HIDDEN DATA'!$A:$B,'HIDDEN DATA'!$C:$C)</f>
        <v>2022-2023</v>
      </c>
      <c r="D369" s="105" t="s">
        <v>153</v>
      </c>
      <c r="E369" s="127" t="str">
        <f>VLOOKUP(D369,'PLAN COMPTABLE'!$C:$D,2,0)</f>
        <v>Charge</v>
      </c>
      <c r="F369" s="166" t="s">
        <v>279</v>
      </c>
      <c r="G369" s="19" t="s">
        <v>267</v>
      </c>
      <c r="H369" s="166" t="s">
        <v>140</v>
      </c>
      <c r="I369" s="128">
        <v>104.37</v>
      </c>
      <c r="J369" s="171" t="s">
        <v>306</v>
      </c>
    </row>
    <row r="370" spans="1:10" ht="12.5" x14ac:dyDescent="0.35">
      <c r="A370" s="17">
        <v>282</v>
      </c>
      <c r="B370" s="18">
        <v>44862</v>
      </c>
      <c r="C370" s="126" t="str">
        <f>LOOKUP(B370,'HIDDEN DATA'!$A:$B,'HIDDEN DATA'!$C:$C)</f>
        <v>2022-2023</v>
      </c>
      <c r="D370" s="166" t="s">
        <v>153</v>
      </c>
      <c r="E370" s="127" t="str">
        <f>VLOOKUP(D370,'PLAN COMPTABLE'!$C:$D,2,0)</f>
        <v>Charge</v>
      </c>
      <c r="F370" s="166" t="s">
        <v>279</v>
      </c>
      <c r="G370" s="19" t="s">
        <v>267</v>
      </c>
      <c r="H370" s="166" t="s">
        <v>140</v>
      </c>
      <c r="I370" s="128">
        <v>40</v>
      </c>
      <c r="J370" s="171" t="s">
        <v>307</v>
      </c>
    </row>
    <row r="371" spans="1:10" ht="12.5" x14ac:dyDescent="0.35">
      <c r="A371" s="17">
        <v>283</v>
      </c>
      <c r="B371" s="18">
        <v>44854</v>
      </c>
      <c r="C371" s="126" t="str">
        <f>LOOKUP(B371,'HIDDEN DATA'!$A:$B,'HIDDEN DATA'!$C:$C)</f>
        <v>2022-2023</v>
      </c>
      <c r="D371" s="166" t="s">
        <v>153</v>
      </c>
      <c r="E371" s="127" t="str">
        <f>VLOOKUP(D371,'PLAN COMPTABLE'!$C:$D,2,0)</f>
        <v>Charge</v>
      </c>
      <c r="F371" s="166" t="s">
        <v>279</v>
      </c>
      <c r="G371" s="19" t="s">
        <v>267</v>
      </c>
      <c r="H371" s="166" t="s">
        <v>140</v>
      </c>
      <c r="I371" s="128">
        <v>12</v>
      </c>
      <c r="J371" s="171" t="s">
        <v>308</v>
      </c>
    </row>
    <row r="372" spans="1:10" ht="12.5" x14ac:dyDescent="0.35">
      <c r="A372" s="17">
        <v>284</v>
      </c>
      <c r="B372" s="18">
        <v>44869</v>
      </c>
      <c r="C372" s="126" t="str">
        <f>LOOKUP(B372,'HIDDEN DATA'!$A:$B,'HIDDEN DATA'!$C:$C)</f>
        <v>2022-2023</v>
      </c>
      <c r="D372" s="166" t="s">
        <v>177</v>
      </c>
      <c r="E372" s="127" t="str">
        <f>VLOOKUP(D372,'PLAN COMPTABLE'!$C:$D,2,0)</f>
        <v>Charge</v>
      </c>
      <c r="F372" s="166" t="s">
        <v>279</v>
      </c>
      <c r="G372" s="19" t="s">
        <v>267</v>
      </c>
      <c r="H372" s="166" t="s">
        <v>140</v>
      </c>
      <c r="I372" s="128">
        <v>110</v>
      </c>
      <c r="J372" s="171" t="s">
        <v>309</v>
      </c>
    </row>
    <row r="373" spans="1:10" ht="12.5" x14ac:dyDescent="0.35">
      <c r="A373" s="17">
        <v>285</v>
      </c>
      <c r="B373" s="18">
        <v>44874</v>
      </c>
      <c r="C373" s="126" t="str">
        <f>LOOKUP(B373,'HIDDEN DATA'!$A:$B,'HIDDEN DATA'!$C:$C)</f>
        <v>2022-2023</v>
      </c>
      <c r="D373" s="166" t="s">
        <v>146</v>
      </c>
      <c r="E373" s="127" t="str">
        <f>VLOOKUP(D373,'PLAN COMPTABLE'!$C:$D,2,0)</f>
        <v>Charge</v>
      </c>
      <c r="F373" s="166" t="s">
        <v>279</v>
      </c>
      <c r="G373" s="19" t="s">
        <v>267</v>
      </c>
      <c r="H373" s="166" t="s">
        <v>140</v>
      </c>
      <c r="I373" s="128">
        <v>56.33</v>
      </c>
      <c r="J373" s="171" t="s">
        <v>310</v>
      </c>
    </row>
    <row r="374" spans="1:10" ht="12.5" x14ac:dyDescent="0.35">
      <c r="A374" s="224">
        <v>286</v>
      </c>
      <c r="B374" s="225">
        <v>44879</v>
      </c>
      <c r="C374" s="226" t="str">
        <f>LOOKUP(B374,'HIDDEN DATA'!$A:$B,'HIDDEN DATA'!$C:$C)</f>
        <v>2022-2023</v>
      </c>
      <c r="D374" s="227" t="s">
        <v>219</v>
      </c>
      <c r="E374" s="228" t="str">
        <f>VLOOKUP(D374,'PLAN COMPTABLE'!$C:$D,2,0)</f>
        <v>Charge</v>
      </c>
      <c r="F374" s="227" t="s">
        <v>279</v>
      </c>
      <c r="G374" s="229" t="s">
        <v>267</v>
      </c>
      <c r="H374" s="227" t="s">
        <v>140</v>
      </c>
      <c r="I374" s="230">
        <v>200</v>
      </c>
      <c r="J374" s="231" t="s">
        <v>311</v>
      </c>
    </row>
    <row r="375" spans="1:10" ht="12.5" x14ac:dyDescent="0.35">
      <c r="A375" s="224">
        <v>287</v>
      </c>
      <c r="B375" s="225">
        <v>44880</v>
      </c>
      <c r="C375" s="226" t="str">
        <f>LOOKUP(B375,'HIDDEN DATA'!$A:$B,'HIDDEN DATA'!$C:$C)</f>
        <v>2022-2023</v>
      </c>
      <c r="D375" s="227" t="s">
        <v>157</v>
      </c>
      <c r="E375" s="228" t="str">
        <f>VLOOKUP(D375,'PLAN COMPTABLE'!$C:$D,2,0)</f>
        <v>Charge</v>
      </c>
      <c r="F375" s="227" t="s">
        <v>279</v>
      </c>
      <c r="G375" s="229" t="s">
        <v>267</v>
      </c>
      <c r="H375" s="227" t="s">
        <v>140</v>
      </c>
      <c r="I375" s="230">
        <v>1650</v>
      </c>
      <c r="J375" s="231"/>
    </row>
    <row r="376" spans="1:10" ht="12.5" x14ac:dyDescent="0.35">
      <c r="A376" s="17">
        <v>288</v>
      </c>
      <c r="B376" s="18">
        <v>44880</v>
      </c>
      <c r="C376" s="126" t="str">
        <f>LOOKUP(B376,'HIDDEN DATA'!$A:$B,'HIDDEN DATA'!$C:$C)</f>
        <v>2022-2023</v>
      </c>
      <c r="D376" s="166" t="s">
        <v>175</v>
      </c>
      <c r="E376" s="127" t="str">
        <f>VLOOKUP(D376,'PLAN COMPTABLE'!$C:$D,2,0)</f>
        <v>Charge</v>
      </c>
      <c r="F376" s="166" t="s">
        <v>279</v>
      </c>
      <c r="G376" s="19" t="s">
        <v>267</v>
      </c>
      <c r="H376" s="166" t="s">
        <v>140</v>
      </c>
      <c r="I376" s="128">
        <v>1500</v>
      </c>
      <c r="J376" s="171"/>
    </row>
    <row r="377" spans="1:10" ht="12.5" x14ac:dyDescent="0.35">
      <c r="A377" s="17">
        <v>289</v>
      </c>
      <c r="B377" s="18">
        <v>44883</v>
      </c>
      <c r="C377" s="126" t="str">
        <f>LOOKUP(B377,'HIDDEN DATA'!$A:$B,'HIDDEN DATA'!$C:$C)</f>
        <v>2022-2023</v>
      </c>
      <c r="D377" s="166" t="s">
        <v>177</v>
      </c>
      <c r="E377" s="127" t="str">
        <f>VLOOKUP(D377,'PLAN COMPTABLE'!$C:$D,2,0)</f>
        <v>Charge</v>
      </c>
      <c r="F377" s="166" t="s">
        <v>279</v>
      </c>
      <c r="G377" s="19" t="s">
        <v>267</v>
      </c>
      <c r="H377" s="166" t="s">
        <v>140</v>
      </c>
      <c r="I377" s="128">
        <v>26.43</v>
      </c>
      <c r="J377" s="171" t="s">
        <v>312</v>
      </c>
    </row>
    <row r="378" spans="1:10" ht="12.5" x14ac:dyDescent="0.35">
      <c r="A378" s="17">
        <v>290</v>
      </c>
      <c r="B378" s="18">
        <v>44886</v>
      </c>
      <c r="C378" s="126" t="str">
        <f>LOOKUP(B378,'HIDDEN DATA'!$A:$B,'HIDDEN DATA'!$C:$C)</f>
        <v>2022-2023</v>
      </c>
      <c r="D378" s="166" t="s">
        <v>499</v>
      </c>
      <c r="E378" s="127" t="str">
        <f>VLOOKUP(D378,'PLAN COMPTABLE'!$C:$D,2,0)</f>
        <v>Charge</v>
      </c>
      <c r="F378" s="166" t="s">
        <v>279</v>
      </c>
      <c r="G378" s="19" t="s">
        <v>267</v>
      </c>
      <c r="H378" s="166" t="s">
        <v>140</v>
      </c>
      <c r="I378" s="128">
        <v>60.81</v>
      </c>
      <c r="J378" s="171" t="s">
        <v>313</v>
      </c>
    </row>
    <row r="379" spans="1:10" ht="12.5" x14ac:dyDescent="0.35">
      <c r="A379" s="17">
        <v>291</v>
      </c>
      <c r="B379" s="18">
        <v>44890</v>
      </c>
      <c r="C379" s="126" t="str">
        <f>LOOKUP(B379,'HIDDEN DATA'!$A:$B,'HIDDEN DATA'!$C:$C)</f>
        <v>2022-2023</v>
      </c>
      <c r="D379" s="166" t="s">
        <v>219</v>
      </c>
      <c r="E379" s="127" t="str">
        <f>VLOOKUP(D379,'PLAN COMPTABLE'!$C:$D,2,0)</f>
        <v>Charge</v>
      </c>
      <c r="F379" s="166" t="s">
        <v>279</v>
      </c>
      <c r="G379" s="19" t="s">
        <v>267</v>
      </c>
      <c r="H379" s="166" t="s">
        <v>140</v>
      </c>
      <c r="I379" s="128">
        <v>126.43</v>
      </c>
      <c r="J379" s="171" t="s">
        <v>314</v>
      </c>
    </row>
    <row r="380" spans="1:10" ht="12.5" x14ac:dyDescent="0.35">
      <c r="A380" s="17">
        <v>292</v>
      </c>
      <c r="B380" s="18">
        <v>44890</v>
      </c>
      <c r="C380" s="126" t="str">
        <f>LOOKUP(B380,'HIDDEN DATA'!$A:$B,'HIDDEN DATA'!$C:$C)</f>
        <v>2022-2023</v>
      </c>
      <c r="D380" s="166" t="s">
        <v>85</v>
      </c>
      <c r="E380" s="127" t="str">
        <f>VLOOKUP(D380,'PLAN COMPTABLE'!$C:$D,2,0)</f>
        <v>Charge</v>
      </c>
      <c r="F380" s="166" t="s">
        <v>279</v>
      </c>
      <c r="G380" s="19" t="s">
        <v>267</v>
      </c>
      <c r="H380" s="166" t="s">
        <v>140</v>
      </c>
      <c r="I380" s="128">
        <v>43.5</v>
      </c>
      <c r="J380" s="171" t="s">
        <v>315</v>
      </c>
    </row>
    <row r="381" spans="1:10" ht="12.5" x14ac:dyDescent="0.35">
      <c r="A381" s="17">
        <v>293</v>
      </c>
      <c r="B381" s="18">
        <v>44910</v>
      </c>
      <c r="C381" s="126" t="str">
        <f>LOOKUP(B381,'HIDDEN DATA'!$A:$B,'HIDDEN DATA'!$C:$C)</f>
        <v>2022-2023</v>
      </c>
      <c r="D381" s="166" t="s">
        <v>159</v>
      </c>
      <c r="E381" s="127" t="str">
        <f>VLOOKUP(D381,'PLAN COMPTABLE'!$C:$D,2,0)</f>
        <v>Charge</v>
      </c>
      <c r="F381" s="166" t="s">
        <v>279</v>
      </c>
      <c r="G381" s="19" t="s">
        <v>267</v>
      </c>
      <c r="H381" s="166" t="s">
        <v>140</v>
      </c>
      <c r="I381" s="128">
        <f>17.58+8.14+16.28+17.58+8.14+11.8+25.72+24.43+8.14+23.6+11.8+11.21+19.35+40.12+8.14+18.88+33.04+45.9+27.02+8.14+11.21+8.14+17.58</f>
        <v>421.93999999999994</v>
      </c>
      <c r="J381" s="232" t="s">
        <v>316</v>
      </c>
    </row>
    <row r="382" spans="1:10" ht="12.5" x14ac:dyDescent="0.35">
      <c r="A382" s="17">
        <v>294</v>
      </c>
      <c r="B382" s="18">
        <v>44805</v>
      </c>
      <c r="C382" s="126" t="str">
        <f>LOOKUP(B382,'HIDDEN DATA'!$A:$B,'HIDDEN DATA'!$C:$C)</f>
        <v>2022-2023</v>
      </c>
      <c r="D382" s="166" t="s">
        <v>204</v>
      </c>
      <c r="E382" s="127" t="str">
        <f>VLOOKUP(D382,'PLAN COMPTABLE'!$C:$D,2,0)</f>
        <v>Charge</v>
      </c>
      <c r="F382" s="166" t="s">
        <v>279</v>
      </c>
      <c r="G382" s="19" t="s">
        <v>267</v>
      </c>
      <c r="H382" s="166" t="s">
        <v>140</v>
      </c>
      <c r="I382" s="128">
        <v>93.13</v>
      </c>
      <c r="J382" s="171" t="s">
        <v>317</v>
      </c>
    </row>
    <row r="383" spans="1:10" ht="12.5" x14ac:dyDescent="0.35">
      <c r="A383" s="17">
        <v>295</v>
      </c>
      <c r="B383" s="18">
        <v>44805</v>
      </c>
      <c r="C383" s="126" t="str">
        <f>LOOKUP(B383,'HIDDEN DATA'!$A:$B,'HIDDEN DATA'!$C:$C)</f>
        <v>2022-2023</v>
      </c>
      <c r="D383" s="166" t="s">
        <v>204</v>
      </c>
      <c r="E383" s="127" t="str">
        <f>VLOOKUP(D383,'PLAN COMPTABLE'!$C:$D,2,0)</f>
        <v>Charge</v>
      </c>
      <c r="F383" s="166" t="s">
        <v>279</v>
      </c>
      <c r="G383" s="19" t="s">
        <v>267</v>
      </c>
      <c r="H383" s="166" t="s">
        <v>140</v>
      </c>
      <c r="I383" s="128">
        <v>109.25</v>
      </c>
      <c r="J383" s="171" t="s">
        <v>318</v>
      </c>
    </row>
    <row r="384" spans="1:10" ht="12.5" x14ac:dyDescent="0.35">
      <c r="A384" s="17">
        <v>296</v>
      </c>
      <c r="B384" s="18">
        <v>44805</v>
      </c>
      <c r="C384" s="126" t="str">
        <f>LOOKUP(B384,'HIDDEN DATA'!$A:$B,'HIDDEN DATA'!$C:$C)</f>
        <v>2022-2023</v>
      </c>
      <c r="D384" s="166" t="s">
        <v>319</v>
      </c>
      <c r="E384" s="127" t="str">
        <f>VLOOKUP(D384,'PLAN COMPTABLE'!$C:$D,2,0)</f>
        <v>Charge</v>
      </c>
      <c r="F384" s="166" t="s">
        <v>279</v>
      </c>
      <c r="G384" s="19" t="s">
        <v>267</v>
      </c>
      <c r="H384" s="166" t="s">
        <v>140</v>
      </c>
      <c r="I384" s="128">
        <v>174.2</v>
      </c>
      <c r="J384" s="171" t="s">
        <v>320</v>
      </c>
    </row>
    <row r="385" spans="1:10" ht="12.5" x14ac:dyDescent="0.35">
      <c r="A385" s="17">
        <v>297</v>
      </c>
      <c r="B385" s="18">
        <v>44945</v>
      </c>
      <c r="C385" s="126" t="str">
        <f>LOOKUP(B385,'HIDDEN DATA'!$A:$B,'HIDDEN DATA'!$C:$C)</f>
        <v>2022-2023</v>
      </c>
      <c r="D385" s="166" t="s">
        <v>146</v>
      </c>
      <c r="E385" s="127" t="str">
        <f>VLOOKUP(D385,'PLAN COMPTABLE'!$C:$D,2,0)</f>
        <v>Charge</v>
      </c>
      <c r="F385" s="166" t="s">
        <v>279</v>
      </c>
      <c r="G385" s="19" t="s">
        <v>267</v>
      </c>
      <c r="H385" s="166" t="s">
        <v>140</v>
      </c>
      <c r="I385" s="128">
        <v>12.98</v>
      </c>
      <c r="J385" s="171" t="s">
        <v>321</v>
      </c>
    </row>
    <row r="386" spans="1:10" ht="12.5" x14ac:dyDescent="0.35">
      <c r="A386" s="17">
        <v>298</v>
      </c>
      <c r="B386" s="18">
        <v>44946</v>
      </c>
      <c r="C386" s="126" t="str">
        <f>LOOKUP(B386,'HIDDEN DATA'!$A:$B,'HIDDEN DATA'!$C:$C)</f>
        <v>2022-2023</v>
      </c>
      <c r="D386" s="166" t="s">
        <v>253</v>
      </c>
      <c r="E386" s="127" t="str">
        <f>VLOOKUP(D386,'PLAN COMPTABLE'!$C:$D,2,0)</f>
        <v>Charge</v>
      </c>
      <c r="F386" s="166" t="s">
        <v>279</v>
      </c>
      <c r="G386" s="19" t="s">
        <v>267</v>
      </c>
      <c r="H386" s="166" t="s">
        <v>140</v>
      </c>
      <c r="I386" s="128">
        <v>436.17</v>
      </c>
      <c r="J386" s="171"/>
    </row>
    <row r="387" spans="1:10" ht="12.5" x14ac:dyDescent="0.35">
      <c r="A387" s="17">
        <v>299</v>
      </c>
      <c r="B387" s="18">
        <v>44951</v>
      </c>
      <c r="C387" s="126" t="str">
        <f>LOOKUP(B387,'HIDDEN DATA'!$A:$B,'HIDDEN DATA'!$C:$C)</f>
        <v>2022-2023</v>
      </c>
      <c r="D387" s="166" t="s">
        <v>252</v>
      </c>
      <c r="E387" s="127" t="str">
        <f>VLOOKUP(D387,'PLAN COMPTABLE'!$C:$D,2,0)</f>
        <v>Charge</v>
      </c>
      <c r="F387" s="166" t="s">
        <v>279</v>
      </c>
      <c r="G387" s="19" t="s">
        <v>267</v>
      </c>
      <c r="H387" s="166" t="s">
        <v>140</v>
      </c>
      <c r="I387" s="128">
        <v>260</v>
      </c>
      <c r="J387" s="171" t="s">
        <v>322</v>
      </c>
    </row>
    <row r="388" spans="1:10" ht="12.5" x14ac:dyDescent="0.35">
      <c r="A388" s="17">
        <v>300</v>
      </c>
      <c r="B388" s="18">
        <v>44933</v>
      </c>
      <c r="C388" s="126" t="str">
        <f>LOOKUP(B388,'HIDDEN DATA'!$A:$B,'HIDDEN DATA'!$C:$C)</f>
        <v>2022-2023</v>
      </c>
      <c r="D388" s="166" t="s">
        <v>156</v>
      </c>
      <c r="E388" s="127" t="str">
        <f>VLOOKUP(D388,'PLAN COMPTABLE'!$C:$D,2,0)</f>
        <v>Charge</v>
      </c>
      <c r="F388" s="166" t="s">
        <v>279</v>
      </c>
      <c r="G388" s="19" t="s">
        <v>267</v>
      </c>
      <c r="H388" s="166" t="s">
        <v>140</v>
      </c>
      <c r="I388" s="128">
        <v>28.95</v>
      </c>
      <c r="J388" s="171" t="s">
        <v>323</v>
      </c>
    </row>
    <row r="389" spans="1:10" ht="12.5" x14ac:dyDescent="0.35">
      <c r="A389" s="224">
        <v>301</v>
      </c>
      <c r="B389" s="225">
        <v>44950</v>
      </c>
      <c r="C389" s="226" t="str">
        <f>LOOKUP(B389,'HIDDEN DATA'!$A:$B,'HIDDEN DATA'!$C:$C)</f>
        <v>2022-2023</v>
      </c>
      <c r="D389" s="227" t="s">
        <v>252</v>
      </c>
      <c r="E389" s="228" t="str">
        <f>VLOOKUP(D389,'PLAN COMPTABLE'!$C:$D,2,0)</f>
        <v>Charge</v>
      </c>
      <c r="F389" s="227" t="s">
        <v>279</v>
      </c>
      <c r="G389" s="229" t="s">
        <v>267</v>
      </c>
      <c r="H389" s="227" t="s">
        <v>140</v>
      </c>
      <c r="I389" s="230">
        <v>113.17</v>
      </c>
      <c r="J389" s="231" t="s">
        <v>324</v>
      </c>
    </row>
    <row r="390" spans="1:10" ht="12.5" x14ac:dyDescent="0.35">
      <c r="A390" s="224">
        <v>302</v>
      </c>
      <c r="B390" s="225">
        <v>44965</v>
      </c>
      <c r="C390" s="226" t="str">
        <f>LOOKUP(B390,'HIDDEN DATA'!$A:$B,'HIDDEN DATA'!$C:$C)</f>
        <v>2022-2023</v>
      </c>
      <c r="D390" s="227" t="s">
        <v>252</v>
      </c>
      <c r="E390" s="228" t="str">
        <f>VLOOKUP(D390,'PLAN COMPTABLE'!$C:$D,2,0)</f>
        <v>Charge</v>
      </c>
      <c r="F390" s="227" t="s">
        <v>279</v>
      </c>
      <c r="G390" s="229" t="s">
        <v>267</v>
      </c>
      <c r="H390" s="227" t="s">
        <v>140</v>
      </c>
      <c r="I390" s="230">
        <v>20</v>
      </c>
      <c r="J390" s="231" t="s">
        <v>325</v>
      </c>
    </row>
    <row r="391" spans="1:10" ht="12.5" x14ac:dyDescent="0.35">
      <c r="A391" s="224">
        <v>303</v>
      </c>
      <c r="B391" s="225">
        <v>44966</v>
      </c>
      <c r="C391" s="226" t="str">
        <f>LOOKUP(B391,'HIDDEN DATA'!$A:$B,'HIDDEN DATA'!$C:$C)</f>
        <v>2022-2023</v>
      </c>
      <c r="D391" s="227" t="s">
        <v>219</v>
      </c>
      <c r="E391" s="228" t="str">
        <f>VLOOKUP(D391,'PLAN COMPTABLE'!$C:$D,2,0)</f>
        <v>Charge</v>
      </c>
      <c r="F391" s="227" t="s">
        <v>279</v>
      </c>
      <c r="G391" s="229" t="s">
        <v>267</v>
      </c>
      <c r="H391" s="227" t="s">
        <v>140</v>
      </c>
      <c r="I391" s="230">
        <v>258.69</v>
      </c>
      <c r="J391" s="231" t="s">
        <v>326</v>
      </c>
    </row>
    <row r="392" spans="1:10" ht="12.5" x14ac:dyDescent="0.35">
      <c r="A392" s="224">
        <v>304</v>
      </c>
      <c r="B392" s="225">
        <v>44970</v>
      </c>
      <c r="C392" s="226" t="str">
        <f>LOOKUP(B392,'HIDDEN DATA'!$A:$B,'HIDDEN DATA'!$C:$C)</f>
        <v>2022-2023</v>
      </c>
      <c r="D392" s="227" t="s">
        <v>146</v>
      </c>
      <c r="E392" s="228" t="str">
        <f>VLOOKUP(D392,'PLAN COMPTABLE'!$C:$D,2,0)</f>
        <v>Charge</v>
      </c>
      <c r="F392" s="227" t="s">
        <v>279</v>
      </c>
      <c r="G392" s="229" t="s">
        <v>267</v>
      </c>
      <c r="H392" s="227" t="s">
        <v>140</v>
      </c>
      <c r="I392" s="230">
        <v>5.98</v>
      </c>
      <c r="J392" s="231" t="s">
        <v>327</v>
      </c>
    </row>
    <row r="393" spans="1:10" ht="12.5" x14ac:dyDescent="0.35">
      <c r="A393" s="224">
        <v>305</v>
      </c>
      <c r="B393" s="225">
        <v>44968</v>
      </c>
      <c r="C393" s="226" t="str">
        <f>LOOKUP(B393,'HIDDEN DATA'!$A:$B,'HIDDEN DATA'!$C:$C)</f>
        <v>2022-2023</v>
      </c>
      <c r="D393" s="166" t="s">
        <v>85</v>
      </c>
      <c r="E393" s="228" t="str">
        <f>VLOOKUP(D393,'PLAN COMPTABLE'!$C:$D,2,0)</f>
        <v>Charge</v>
      </c>
      <c r="F393" s="227" t="s">
        <v>279</v>
      </c>
      <c r="G393" s="229" t="s">
        <v>267</v>
      </c>
      <c r="H393" s="227" t="s">
        <v>140</v>
      </c>
      <c r="I393" s="230">
        <v>60</v>
      </c>
      <c r="J393" s="231" t="s">
        <v>328</v>
      </c>
    </row>
    <row r="394" spans="1:10" ht="12.5" x14ac:dyDescent="0.35">
      <c r="A394" s="224">
        <v>306</v>
      </c>
      <c r="B394" s="225">
        <v>44991</v>
      </c>
      <c r="C394" s="226" t="str">
        <f>LOOKUP(B394,'HIDDEN DATA'!$A:$B,'HIDDEN DATA'!$C:$C)</f>
        <v>2022-2023</v>
      </c>
      <c r="D394" s="227" t="s">
        <v>146</v>
      </c>
      <c r="E394" s="228" t="str">
        <f>VLOOKUP(D394,'PLAN COMPTABLE'!$C:$D,2,0)</f>
        <v>Charge</v>
      </c>
      <c r="F394" s="227" t="s">
        <v>279</v>
      </c>
      <c r="G394" s="229" t="s">
        <v>267</v>
      </c>
      <c r="H394" s="227" t="s">
        <v>140</v>
      </c>
      <c r="I394" s="230">
        <v>14.98</v>
      </c>
      <c r="J394" s="231" t="s">
        <v>329</v>
      </c>
    </row>
    <row r="395" spans="1:10" ht="12.5" x14ac:dyDescent="0.35">
      <c r="A395" s="224">
        <v>307</v>
      </c>
      <c r="B395" s="225">
        <v>44993</v>
      </c>
      <c r="C395" s="226" t="str">
        <f>LOOKUP(B395,'HIDDEN DATA'!$A:$B,'HIDDEN DATA'!$C:$C)</f>
        <v>2022-2023</v>
      </c>
      <c r="D395" s="227" t="s">
        <v>291</v>
      </c>
      <c r="E395" s="228" t="str">
        <f>VLOOKUP(D395,'PLAN COMPTABLE'!$C:$D,2,0)</f>
        <v>Charge</v>
      </c>
      <c r="F395" s="227" t="s">
        <v>279</v>
      </c>
      <c r="G395" s="229" t="s">
        <v>267</v>
      </c>
      <c r="H395" s="227" t="s">
        <v>140</v>
      </c>
      <c r="I395" s="230">
        <v>408.74</v>
      </c>
      <c r="J395" s="231" t="s">
        <v>330</v>
      </c>
    </row>
    <row r="396" spans="1:10" ht="12.5" x14ac:dyDescent="0.35">
      <c r="A396" s="224">
        <v>308</v>
      </c>
      <c r="B396" s="225">
        <v>44995</v>
      </c>
      <c r="C396" s="226" t="str">
        <f>LOOKUP(B396,'HIDDEN DATA'!$A:$B,'HIDDEN DATA'!$C:$C)</f>
        <v>2022-2023</v>
      </c>
      <c r="D396" s="227" t="s">
        <v>180</v>
      </c>
      <c r="E396" s="228" t="str">
        <f>VLOOKUP(D396,'PLAN COMPTABLE'!$C:$D,2,0)</f>
        <v>Charge</v>
      </c>
      <c r="F396" s="227" t="s">
        <v>279</v>
      </c>
      <c r="G396" s="229" t="s">
        <v>267</v>
      </c>
      <c r="H396" s="227" t="s">
        <v>140</v>
      </c>
      <c r="I396" s="230">
        <v>535.52</v>
      </c>
      <c r="J396" s="231"/>
    </row>
    <row r="397" spans="1:10" ht="12.5" x14ac:dyDescent="0.35">
      <c r="A397" s="224">
        <v>309</v>
      </c>
      <c r="B397" s="225">
        <v>45003</v>
      </c>
      <c r="C397" s="226" t="str">
        <f>LOOKUP(B397,'HIDDEN DATA'!$A:$B,'HIDDEN DATA'!$C:$C)</f>
        <v>2022-2023</v>
      </c>
      <c r="D397" s="227" t="s">
        <v>499</v>
      </c>
      <c r="E397" s="228" t="str">
        <f>VLOOKUP(D397,'PLAN COMPTABLE'!$C:$D,2,0)</f>
        <v>Charge</v>
      </c>
      <c r="F397" s="227" t="s">
        <v>279</v>
      </c>
      <c r="G397" s="229" t="s">
        <v>267</v>
      </c>
      <c r="H397" s="227" t="s">
        <v>140</v>
      </c>
      <c r="I397" s="230">
        <v>350</v>
      </c>
      <c r="J397" s="231" t="s">
        <v>331</v>
      </c>
    </row>
    <row r="398" spans="1:10" ht="12.5" x14ac:dyDescent="0.35">
      <c r="A398" s="224">
        <v>310</v>
      </c>
      <c r="B398" s="225">
        <v>45006</v>
      </c>
      <c r="C398" s="226" t="str">
        <f>LOOKUP(B398,'HIDDEN DATA'!$A:$B,'HIDDEN DATA'!$C:$C)</f>
        <v>2022-2023</v>
      </c>
      <c r="D398" s="227" t="s">
        <v>252</v>
      </c>
      <c r="E398" s="228" t="str">
        <f>VLOOKUP(D398,'PLAN COMPTABLE'!$C:$D,2,0)</f>
        <v>Charge</v>
      </c>
      <c r="F398" s="227" t="s">
        <v>279</v>
      </c>
      <c r="G398" s="229" t="s">
        <v>267</v>
      </c>
      <c r="H398" s="227" t="s">
        <v>140</v>
      </c>
      <c r="I398" s="230">
        <v>100</v>
      </c>
      <c r="J398" s="231" t="s">
        <v>332</v>
      </c>
    </row>
    <row r="399" spans="1:10" ht="12.5" x14ac:dyDescent="0.35">
      <c r="A399" s="224">
        <v>311</v>
      </c>
      <c r="B399" s="225">
        <v>45002</v>
      </c>
      <c r="C399" s="226" t="str">
        <f>LOOKUP(B399,'HIDDEN DATA'!$A:$B,'HIDDEN DATA'!$C:$C)</f>
        <v>2022-2023</v>
      </c>
      <c r="D399" s="227" t="s">
        <v>499</v>
      </c>
      <c r="E399" s="228" t="str">
        <f>VLOOKUP(D399,'PLAN COMPTABLE'!$C:$D,2,0)</f>
        <v>Charge</v>
      </c>
      <c r="F399" s="227" t="s">
        <v>139</v>
      </c>
      <c r="G399" s="229">
        <v>675</v>
      </c>
      <c r="H399" s="227" t="s">
        <v>140</v>
      </c>
      <c r="I399" s="230">
        <v>1288.8699999999999</v>
      </c>
      <c r="J399" s="231" t="s">
        <v>333</v>
      </c>
    </row>
    <row r="400" spans="1:10" ht="12.5" x14ac:dyDescent="0.35">
      <c r="A400" s="224">
        <v>312</v>
      </c>
      <c r="B400" s="225">
        <v>44996</v>
      </c>
      <c r="C400" s="226" t="str">
        <f>LOOKUP(B400,'HIDDEN DATA'!$A:$B,'HIDDEN DATA'!$C:$C)</f>
        <v>2022-2023</v>
      </c>
      <c r="D400" s="227" t="s">
        <v>183</v>
      </c>
      <c r="E400" s="228" t="str">
        <f>VLOOKUP(D400,'PLAN COMPTABLE'!$C:$D,2,0)</f>
        <v>Charge</v>
      </c>
      <c r="F400" s="227" t="s">
        <v>279</v>
      </c>
      <c r="G400" s="229" t="s">
        <v>267</v>
      </c>
      <c r="H400" s="227" t="s">
        <v>140</v>
      </c>
      <c r="I400" s="230">
        <v>335</v>
      </c>
      <c r="J400" s="231" t="s">
        <v>334</v>
      </c>
    </row>
    <row r="401" spans="1:10" ht="12.5" x14ac:dyDescent="0.35">
      <c r="A401" s="224">
        <v>315</v>
      </c>
      <c r="B401" s="225">
        <v>44995</v>
      </c>
      <c r="C401" s="226" t="str">
        <f>LOOKUP(B401,'HIDDEN DATA'!$A:$B,'HIDDEN DATA'!$C:$C)</f>
        <v>2022-2023</v>
      </c>
      <c r="D401" s="227" t="s">
        <v>335</v>
      </c>
      <c r="E401" s="228" t="str">
        <f>VLOOKUP(D401,'PLAN COMPTABLE'!$C:$D,2,0)</f>
        <v>Produit</v>
      </c>
      <c r="F401" s="227" t="s">
        <v>139</v>
      </c>
      <c r="G401" s="229" t="s">
        <v>267</v>
      </c>
      <c r="H401" s="227" t="s">
        <v>140</v>
      </c>
      <c r="I401" s="230">
        <v>300</v>
      </c>
      <c r="J401" s="231" t="s">
        <v>336</v>
      </c>
    </row>
    <row r="402" spans="1:10" ht="12.5" x14ac:dyDescent="0.35">
      <c r="A402" s="224">
        <v>313</v>
      </c>
      <c r="B402" s="225">
        <v>45007</v>
      </c>
      <c r="C402" s="226" t="str">
        <f>LOOKUP(B402,'HIDDEN DATA'!$A:$B,'HIDDEN DATA'!$C:$C)</f>
        <v>2022-2023</v>
      </c>
      <c r="D402" s="227" t="s">
        <v>183</v>
      </c>
      <c r="E402" s="228" t="str">
        <f>VLOOKUP(D402,'PLAN COMPTABLE'!$C:$D,2,0)</f>
        <v>Charge</v>
      </c>
      <c r="F402" s="227" t="s">
        <v>279</v>
      </c>
      <c r="G402" s="229" t="s">
        <v>267</v>
      </c>
      <c r="H402" s="227" t="s">
        <v>140</v>
      </c>
      <c r="I402" s="230">
        <v>92.79</v>
      </c>
      <c r="J402" s="231" t="s">
        <v>337</v>
      </c>
    </row>
    <row r="403" spans="1:10" ht="12.5" x14ac:dyDescent="0.35">
      <c r="A403" s="224">
        <v>314</v>
      </c>
      <c r="B403" s="225">
        <v>45012</v>
      </c>
      <c r="C403" s="226" t="str">
        <f>LOOKUP(B403,'HIDDEN DATA'!$A:$B,'HIDDEN DATA'!$C:$C)</f>
        <v>2022-2023</v>
      </c>
      <c r="D403" s="227" t="s">
        <v>183</v>
      </c>
      <c r="E403" s="228" t="str">
        <f>VLOOKUP(D403,'PLAN COMPTABLE'!$C:$D,2,0)</f>
        <v>Charge</v>
      </c>
      <c r="F403" s="227" t="s">
        <v>279</v>
      </c>
      <c r="G403" s="229" t="s">
        <v>267</v>
      </c>
      <c r="H403" s="227" t="s">
        <v>140</v>
      </c>
      <c r="I403" s="230">
        <v>103.75</v>
      </c>
      <c r="J403" s="231" t="s">
        <v>338</v>
      </c>
    </row>
    <row r="404" spans="1:10" ht="12.5" x14ac:dyDescent="0.35">
      <c r="A404" s="224">
        <v>315</v>
      </c>
      <c r="B404" s="225">
        <v>45014</v>
      </c>
      <c r="C404" s="226" t="str">
        <f>LOOKUP(B404,'HIDDEN DATA'!$A:$B,'HIDDEN DATA'!$C:$C)</f>
        <v>2022-2023</v>
      </c>
      <c r="D404" s="227" t="s">
        <v>183</v>
      </c>
      <c r="E404" s="228" t="str">
        <f>VLOOKUP(D404,'PLAN COMPTABLE'!$C:$D,2,0)</f>
        <v>Charge</v>
      </c>
      <c r="F404" s="227" t="s">
        <v>279</v>
      </c>
      <c r="G404" s="229" t="s">
        <v>267</v>
      </c>
      <c r="H404" s="227" t="s">
        <v>140</v>
      </c>
      <c r="I404" s="230">
        <v>10.35</v>
      </c>
      <c r="J404" s="231" t="s">
        <v>338</v>
      </c>
    </row>
    <row r="405" spans="1:10" ht="12.5" x14ac:dyDescent="0.35">
      <c r="A405" s="224">
        <v>316</v>
      </c>
      <c r="B405" s="225">
        <v>45013</v>
      </c>
      <c r="C405" s="226" t="str">
        <f>LOOKUP(B405,'HIDDEN DATA'!$A:$B,'HIDDEN DATA'!$C:$C)</f>
        <v>2022-2023</v>
      </c>
      <c r="D405" s="227" t="s">
        <v>183</v>
      </c>
      <c r="E405" s="228" t="str">
        <f>VLOOKUP(D405,'PLAN COMPTABLE'!$C:$D,2,0)</f>
        <v>Charge</v>
      </c>
      <c r="F405" s="227" t="s">
        <v>279</v>
      </c>
      <c r="G405" s="229" t="s">
        <v>267</v>
      </c>
      <c r="H405" s="227" t="s">
        <v>140</v>
      </c>
      <c r="I405" s="230">
        <f>5.98+5.98+13.99+82.94</f>
        <v>108.89</v>
      </c>
      <c r="J405" s="231" t="s">
        <v>339</v>
      </c>
    </row>
    <row r="406" spans="1:10" ht="12.5" x14ac:dyDescent="0.35">
      <c r="A406" s="224">
        <v>317</v>
      </c>
      <c r="B406" s="225">
        <v>45001</v>
      </c>
      <c r="C406" s="226" t="str">
        <f>LOOKUP(B406,'HIDDEN DATA'!$A:$B,'HIDDEN DATA'!$C:$C)</f>
        <v>2022-2023</v>
      </c>
      <c r="D406" s="227" t="s">
        <v>156</v>
      </c>
      <c r="E406" s="228" t="str">
        <f>VLOOKUP(D406,'PLAN COMPTABLE'!$C:$D,2,0)</f>
        <v>Charge</v>
      </c>
      <c r="F406" s="227" t="s">
        <v>279</v>
      </c>
      <c r="G406" s="229" t="s">
        <v>267</v>
      </c>
      <c r="H406" s="227" t="s">
        <v>140</v>
      </c>
      <c r="I406" s="230">
        <f>18.35+8.1+18.36+25.05+17.35+8.85</f>
        <v>96.06</v>
      </c>
      <c r="J406" s="231" t="s">
        <v>340</v>
      </c>
    </row>
    <row r="407" spans="1:10" ht="12.5" x14ac:dyDescent="0.35">
      <c r="A407" s="224">
        <v>318</v>
      </c>
      <c r="B407" s="225">
        <v>45015</v>
      </c>
      <c r="C407" s="226" t="str">
        <f>LOOKUP(B407,'HIDDEN DATA'!$A:$B,'HIDDEN DATA'!$C:$C)</f>
        <v>2022-2023</v>
      </c>
      <c r="D407" s="227" t="s">
        <v>252</v>
      </c>
      <c r="E407" s="228" t="str">
        <f>VLOOKUP(D407,'PLAN COMPTABLE'!$C:$D,2,0)</f>
        <v>Charge</v>
      </c>
      <c r="F407" s="227" t="s">
        <v>279</v>
      </c>
      <c r="G407" s="229" t="s">
        <v>267</v>
      </c>
      <c r="H407" s="227" t="s">
        <v>140</v>
      </c>
      <c r="I407" s="230">
        <v>63.85</v>
      </c>
      <c r="J407" s="231" t="s">
        <v>341</v>
      </c>
    </row>
    <row r="408" spans="1:10" ht="12.5" x14ac:dyDescent="0.35">
      <c r="A408" s="224">
        <v>319</v>
      </c>
      <c r="B408" s="225">
        <v>45018</v>
      </c>
      <c r="C408" s="226" t="str">
        <f>LOOKUP(B408,'HIDDEN DATA'!$A:$B,'HIDDEN DATA'!$C:$C)</f>
        <v>2022-2023</v>
      </c>
      <c r="D408" s="227" t="s">
        <v>183</v>
      </c>
      <c r="E408" s="228" t="str">
        <f>VLOOKUP(D408,'PLAN COMPTABLE'!$C:$D,2,0)</f>
        <v>Charge</v>
      </c>
      <c r="F408" s="227" t="s">
        <v>279</v>
      </c>
      <c r="G408" s="229" t="s">
        <v>267</v>
      </c>
      <c r="H408" s="227" t="s">
        <v>140</v>
      </c>
      <c r="I408" s="230">
        <v>460.25</v>
      </c>
      <c r="J408" s="231" t="s">
        <v>342</v>
      </c>
    </row>
    <row r="409" spans="1:10" ht="12.5" x14ac:dyDescent="0.35">
      <c r="A409" s="224">
        <v>320</v>
      </c>
      <c r="B409" s="225">
        <v>45044</v>
      </c>
      <c r="C409" s="226" t="str">
        <f>LOOKUP(B409,'HIDDEN DATA'!$A:$B,'HIDDEN DATA'!$C:$C)</f>
        <v>2022-2023</v>
      </c>
      <c r="D409" s="227" t="s">
        <v>191</v>
      </c>
      <c r="E409" s="228" t="str">
        <f>VLOOKUP(D409,'PLAN COMPTABLE'!$C:$D,2,0)</f>
        <v>Charge</v>
      </c>
      <c r="F409" s="227" t="s">
        <v>279</v>
      </c>
      <c r="G409" s="229" t="s">
        <v>267</v>
      </c>
      <c r="H409" s="227" t="s">
        <v>140</v>
      </c>
      <c r="I409" s="230">
        <v>451.15</v>
      </c>
      <c r="J409" s="231" t="s">
        <v>343</v>
      </c>
    </row>
    <row r="410" spans="1:10" ht="12.5" x14ac:dyDescent="0.35">
      <c r="A410" s="224">
        <v>321</v>
      </c>
      <c r="B410" s="225">
        <v>45050</v>
      </c>
      <c r="C410" s="226" t="str">
        <f>LOOKUP(B410,'HIDDEN DATA'!$A:$B,'HIDDEN DATA'!$C:$C)</f>
        <v>2022-2023</v>
      </c>
      <c r="D410" s="227" t="s">
        <v>499</v>
      </c>
      <c r="E410" s="228" t="str">
        <f>VLOOKUP(D410,'PLAN COMPTABLE'!$C:$D,2,0)</f>
        <v>Charge</v>
      </c>
      <c r="F410" s="227" t="s">
        <v>279</v>
      </c>
      <c r="G410" s="229" t="s">
        <v>267</v>
      </c>
      <c r="H410" s="227" t="s">
        <v>140</v>
      </c>
      <c r="I410" s="230">
        <v>350</v>
      </c>
      <c r="J410" s="231" t="s">
        <v>344</v>
      </c>
    </row>
    <row r="411" spans="1:10" ht="12.5" x14ac:dyDescent="0.35">
      <c r="A411" s="224">
        <v>322</v>
      </c>
      <c r="B411" s="225">
        <v>45050</v>
      </c>
      <c r="C411" s="226" t="str">
        <f>LOOKUP(B411,'HIDDEN DATA'!$A:$B,'HIDDEN DATA'!$C:$C)</f>
        <v>2022-2023</v>
      </c>
      <c r="D411" s="227" t="s">
        <v>257</v>
      </c>
      <c r="E411" s="228" t="str">
        <f>VLOOKUP(D411,'PLAN COMPTABLE'!$C:$D,2,0)</f>
        <v>Produit</v>
      </c>
      <c r="F411" s="227"/>
      <c r="G411" s="229"/>
      <c r="H411" s="227" t="s">
        <v>140</v>
      </c>
      <c r="I411" s="230">
        <v>350</v>
      </c>
      <c r="J411" s="231" t="s">
        <v>345</v>
      </c>
    </row>
    <row r="412" spans="1:10" ht="12.5" x14ac:dyDescent="0.35">
      <c r="A412" s="224">
        <v>323</v>
      </c>
      <c r="B412" s="225">
        <v>44874</v>
      </c>
      <c r="C412" s="226" t="str">
        <f>LOOKUP(B412,'HIDDEN DATA'!$A:$B,'HIDDEN DATA'!$C:$C)</f>
        <v>2022-2023</v>
      </c>
      <c r="D412" s="227" t="s">
        <v>167</v>
      </c>
      <c r="E412" s="228" t="str">
        <f>VLOOKUP(D412,'PLAN COMPTABLE'!$C:$D,2,0)</f>
        <v>Produit</v>
      </c>
      <c r="F412" s="227" t="s">
        <v>279</v>
      </c>
      <c r="G412" s="229" t="s">
        <v>267</v>
      </c>
      <c r="H412" s="227" t="s">
        <v>140</v>
      </c>
      <c r="I412" s="230">
        <v>2784</v>
      </c>
      <c r="J412" s="231"/>
    </row>
    <row r="413" spans="1:10" ht="12.5" x14ac:dyDescent="0.35">
      <c r="A413" s="224">
        <v>324</v>
      </c>
      <c r="B413" s="225">
        <v>44972</v>
      </c>
      <c r="C413" s="226" t="str">
        <f>LOOKUP(B413,'HIDDEN DATA'!$A:$B,'HIDDEN DATA'!$C:$C)</f>
        <v>2022-2023</v>
      </c>
      <c r="D413" s="227" t="s">
        <v>167</v>
      </c>
      <c r="E413" s="228" t="str">
        <f>VLOOKUP(D413,'PLAN COMPTABLE'!$C:$D,2,0)</f>
        <v>Produit</v>
      </c>
      <c r="F413" s="227" t="s">
        <v>279</v>
      </c>
      <c r="G413" s="229" t="s">
        <v>267</v>
      </c>
      <c r="H413" s="227" t="s">
        <v>140</v>
      </c>
      <c r="I413" s="230">
        <v>1831.5</v>
      </c>
      <c r="J413" s="231"/>
    </row>
    <row r="414" spans="1:10" ht="12.5" x14ac:dyDescent="0.35">
      <c r="A414" s="224">
        <v>325</v>
      </c>
      <c r="B414" s="225">
        <v>44972</v>
      </c>
      <c r="C414" s="226" t="str">
        <f>LOOKUP(B414,'HIDDEN DATA'!$A:$B,'HIDDEN DATA'!$C:$C)</f>
        <v>2022-2023</v>
      </c>
      <c r="D414" s="227" t="s">
        <v>174</v>
      </c>
      <c r="E414" s="228" t="str">
        <f>VLOOKUP(D414,'PLAN COMPTABLE'!$C:$D,2,0)</f>
        <v>Produit</v>
      </c>
      <c r="F414" s="227" t="s">
        <v>279</v>
      </c>
      <c r="G414" s="229"/>
      <c r="H414" s="227" t="s">
        <v>140</v>
      </c>
      <c r="I414" s="230">
        <v>2005.5</v>
      </c>
      <c r="J414" s="231"/>
    </row>
    <row r="415" spans="1:10" ht="12.5" x14ac:dyDescent="0.35">
      <c r="A415" s="224">
        <v>326</v>
      </c>
      <c r="B415" s="225">
        <v>45056</v>
      </c>
      <c r="C415" s="226" t="str">
        <f>LOOKUP(B415,'HIDDEN DATA'!$A:$B,'HIDDEN DATA'!$C:$C)</f>
        <v>2022-2023</v>
      </c>
      <c r="D415" s="227" t="s">
        <v>335</v>
      </c>
      <c r="E415" s="228" t="str">
        <f>VLOOKUP(D415,'PLAN COMPTABLE'!$C:$D,2,0)</f>
        <v>Produit</v>
      </c>
      <c r="F415" s="227" t="s">
        <v>139</v>
      </c>
      <c r="G415" s="229" t="s">
        <v>267</v>
      </c>
      <c r="H415" s="227" t="s">
        <v>140</v>
      </c>
      <c r="I415" s="230">
        <v>450</v>
      </c>
      <c r="J415" s="231" t="s">
        <v>336</v>
      </c>
    </row>
    <row r="416" spans="1:10" ht="12.5" x14ac:dyDescent="0.35">
      <c r="A416" s="224">
        <v>327</v>
      </c>
      <c r="B416" s="225">
        <v>45051</v>
      </c>
      <c r="C416" s="226" t="str">
        <f>LOOKUP(B416,'HIDDEN DATA'!$A:$B,'HIDDEN DATA'!$C:$C)</f>
        <v>2022-2023</v>
      </c>
      <c r="D416" s="227" t="s">
        <v>183</v>
      </c>
      <c r="E416" s="228" t="str">
        <f>VLOOKUP(D416,'PLAN COMPTABLE'!$C:$D,2,0)</f>
        <v>Charge</v>
      </c>
      <c r="F416" s="227" t="s">
        <v>279</v>
      </c>
      <c r="G416" s="229" t="s">
        <v>267</v>
      </c>
      <c r="H416" s="227" t="s">
        <v>140</v>
      </c>
      <c r="I416" s="230">
        <v>300</v>
      </c>
      <c r="J416" s="231" t="s">
        <v>346</v>
      </c>
    </row>
    <row r="417" spans="1:11" s="127" customFormat="1" ht="12.5" x14ac:dyDescent="0.35">
      <c r="A417" s="224">
        <v>328</v>
      </c>
      <c r="B417" s="225">
        <v>45105</v>
      </c>
      <c r="C417" s="226" t="str">
        <f>LOOKUP(B417,'HIDDEN DATA'!$A:$B,'HIDDEN DATA'!$C:$C)</f>
        <v>2022-2023</v>
      </c>
      <c r="D417" s="227" t="s">
        <v>185</v>
      </c>
      <c r="E417" s="228" t="str">
        <f>VLOOKUP(D417,'PLAN COMPTABLE'!$C:$D,2,0)</f>
        <v>Charge</v>
      </c>
      <c r="F417" s="227" t="s">
        <v>279</v>
      </c>
      <c r="G417" s="229" t="s">
        <v>267</v>
      </c>
      <c r="H417" s="227" t="s">
        <v>140</v>
      </c>
      <c r="I417" s="230">
        <v>60</v>
      </c>
      <c r="J417" s="231" t="s">
        <v>347</v>
      </c>
      <c r="K417" s="233"/>
    </row>
    <row r="418" spans="1:11" s="127" customFormat="1" ht="12.5" x14ac:dyDescent="0.35">
      <c r="A418" s="224">
        <v>329</v>
      </c>
      <c r="B418" s="225">
        <v>45105</v>
      </c>
      <c r="C418" s="226" t="str">
        <f>LOOKUP(B418,'HIDDEN DATA'!$A:$B,'HIDDEN DATA'!$C:$C)</f>
        <v>2022-2023</v>
      </c>
      <c r="D418" s="227" t="s">
        <v>185</v>
      </c>
      <c r="E418" s="228" t="str">
        <f>VLOOKUP(D418,'PLAN COMPTABLE'!$C:$D,2,0)</f>
        <v>Charge</v>
      </c>
      <c r="F418" s="227" t="s">
        <v>279</v>
      </c>
      <c r="G418" s="229" t="s">
        <v>267</v>
      </c>
      <c r="H418" s="227" t="s">
        <v>140</v>
      </c>
      <c r="I418" s="230">
        <v>60</v>
      </c>
      <c r="J418" s="231" t="s">
        <v>348</v>
      </c>
      <c r="K418" s="233"/>
    </row>
    <row r="419" spans="1:11" s="127" customFormat="1" ht="12.5" x14ac:dyDescent="0.35">
      <c r="A419" s="224">
        <v>330</v>
      </c>
      <c r="B419" s="225">
        <v>45105</v>
      </c>
      <c r="C419" s="226" t="str">
        <f>LOOKUP(B419,'HIDDEN DATA'!$A:$B,'HIDDEN DATA'!$C:$C)</f>
        <v>2022-2023</v>
      </c>
      <c r="D419" s="227" t="s">
        <v>185</v>
      </c>
      <c r="E419" s="228" t="str">
        <f>VLOOKUP(D419,'PLAN COMPTABLE'!$C:$D,2,0)</f>
        <v>Charge</v>
      </c>
      <c r="F419" s="227" t="s">
        <v>279</v>
      </c>
      <c r="G419" s="229" t="s">
        <v>267</v>
      </c>
      <c r="H419" s="227" t="s">
        <v>140</v>
      </c>
      <c r="I419" s="230">
        <v>60</v>
      </c>
      <c r="J419" s="231" t="s">
        <v>349</v>
      </c>
      <c r="K419" s="233"/>
    </row>
    <row r="420" spans="1:11" ht="12.5" x14ac:dyDescent="0.35">
      <c r="A420" s="224">
        <v>331</v>
      </c>
      <c r="B420" s="225">
        <v>45105</v>
      </c>
      <c r="C420" s="226" t="str">
        <f>LOOKUP(B420,'HIDDEN DATA'!$A:$B,'HIDDEN DATA'!$C:$C)</f>
        <v>2022-2023</v>
      </c>
      <c r="D420" s="227" t="s">
        <v>185</v>
      </c>
      <c r="E420" s="228" t="str">
        <f>VLOOKUP(D420,'PLAN COMPTABLE'!$C:$D,2,0)</f>
        <v>Charge</v>
      </c>
      <c r="F420" s="227" t="s">
        <v>279</v>
      </c>
      <c r="G420" s="229" t="s">
        <v>267</v>
      </c>
      <c r="H420" s="227" t="s">
        <v>140</v>
      </c>
      <c r="I420" s="230">
        <v>60</v>
      </c>
      <c r="J420" s="231" t="s">
        <v>350</v>
      </c>
    </row>
    <row r="421" spans="1:11" ht="12.5" x14ac:dyDescent="0.35">
      <c r="A421" s="224">
        <v>332</v>
      </c>
      <c r="B421" s="225">
        <v>45105</v>
      </c>
      <c r="C421" s="226" t="str">
        <f>LOOKUP(B421,'HIDDEN DATA'!$A:$B,'HIDDEN DATA'!$C:$C)</f>
        <v>2022-2023</v>
      </c>
      <c r="D421" s="227" t="s">
        <v>185</v>
      </c>
      <c r="E421" s="228" t="str">
        <f>VLOOKUP(D421,'PLAN COMPTABLE'!$C:$D,2,0)</f>
        <v>Charge</v>
      </c>
      <c r="F421" s="227" t="s">
        <v>279</v>
      </c>
      <c r="G421" s="229" t="s">
        <v>267</v>
      </c>
      <c r="H421" s="227" t="s">
        <v>140</v>
      </c>
      <c r="I421" s="230">
        <v>60</v>
      </c>
      <c r="J421" s="231" t="s">
        <v>351</v>
      </c>
    </row>
    <row r="422" spans="1:11" ht="12.5" x14ac:dyDescent="0.35">
      <c r="A422" s="224">
        <v>333</v>
      </c>
      <c r="B422" s="225">
        <v>45105</v>
      </c>
      <c r="C422" s="226" t="str">
        <f>LOOKUP(B422,'HIDDEN DATA'!$A:$B,'HIDDEN DATA'!$C:$C)</f>
        <v>2022-2023</v>
      </c>
      <c r="D422" s="227" t="s">
        <v>185</v>
      </c>
      <c r="E422" s="228" t="str">
        <f>VLOOKUP(D422,'PLAN COMPTABLE'!$C:$D,2,0)</f>
        <v>Charge</v>
      </c>
      <c r="F422" s="227" t="s">
        <v>279</v>
      </c>
      <c r="G422" s="229" t="s">
        <v>267</v>
      </c>
      <c r="H422" s="227" t="s">
        <v>140</v>
      </c>
      <c r="I422" s="230">
        <v>60</v>
      </c>
      <c r="J422" s="231" t="s">
        <v>352</v>
      </c>
    </row>
    <row r="423" spans="1:11" ht="12.5" x14ac:dyDescent="0.35">
      <c r="A423" s="224">
        <v>334</v>
      </c>
      <c r="B423" s="225">
        <v>45105</v>
      </c>
      <c r="C423" s="226" t="str">
        <f>LOOKUP(B423,'HIDDEN DATA'!$A:$B,'HIDDEN DATA'!$C:$C)</f>
        <v>2022-2023</v>
      </c>
      <c r="D423" s="227" t="s">
        <v>185</v>
      </c>
      <c r="E423" s="228" t="str">
        <f>VLOOKUP(D423,'PLAN COMPTABLE'!$C:$D,2,0)</f>
        <v>Charge</v>
      </c>
      <c r="F423" s="227" t="s">
        <v>279</v>
      </c>
      <c r="G423" s="229" t="s">
        <v>267</v>
      </c>
      <c r="H423" s="227" t="s">
        <v>140</v>
      </c>
      <c r="I423" s="230">
        <v>60</v>
      </c>
      <c r="J423" s="231" t="s">
        <v>353</v>
      </c>
    </row>
    <row r="424" spans="1:11" ht="12.5" x14ac:dyDescent="0.35">
      <c r="A424" s="224">
        <v>335</v>
      </c>
      <c r="B424" s="225">
        <v>45105</v>
      </c>
      <c r="C424" s="226" t="str">
        <f>LOOKUP(B424,'HIDDEN DATA'!$A:$B,'HIDDEN DATA'!$C:$C)</f>
        <v>2022-2023</v>
      </c>
      <c r="D424" s="227" t="s">
        <v>185</v>
      </c>
      <c r="E424" s="228" t="str">
        <f>VLOOKUP(D424,'PLAN COMPTABLE'!$C:$D,2,0)</f>
        <v>Charge</v>
      </c>
      <c r="F424" s="227" t="s">
        <v>279</v>
      </c>
      <c r="G424" s="229" t="s">
        <v>267</v>
      </c>
      <c r="H424" s="227" t="s">
        <v>140</v>
      </c>
      <c r="I424" s="230">
        <v>60</v>
      </c>
      <c r="J424" s="231" t="s">
        <v>354</v>
      </c>
    </row>
    <row r="425" spans="1:11" ht="12.5" x14ac:dyDescent="0.35">
      <c r="A425" s="224">
        <v>336</v>
      </c>
      <c r="B425" s="225">
        <v>45105</v>
      </c>
      <c r="C425" s="226" t="str">
        <f>LOOKUP(B425,'HIDDEN DATA'!$A:$B,'HIDDEN DATA'!$C:$C)</f>
        <v>2022-2023</v>
      </c>
      <c r="D425" s="227" t="s">
        <v>185</v>
      </c>
      <c r="E425" s="228" t="str">
        <f>VLOOKUP(D425,'PLAN COMPTABLE'!$C:$D,2,0)</f>
        <v>Charge</v>
      </c>
      <c r="F425" s="227" t="s">
        <v>279</v>
      </c>
      <c r="G425" s="229" t="s">
        <v>267</v>
      </c>
      <c r="H425" s="227" t="s">
        <v>140</v>
      </c>
      <c r="I425" s="230">
        <v>60</v>
      </c>
      <c r="J425" s="231" t="s">
        <v>355</v>
      </c>
    </row>
    <row r="426" spans="1:11" ht="12.5" x14ac:dyDescent="0.35">
      <c r="A426" s="224">
        <v>338</v>
      </c>
      <c r="B426" s="225">
        <v>45105</v>
      </c>
      <c r="C426" s="226" t="str">
        <f>LOOKUP(B426,'HIDDEN DATA'!$A:$B,'HIDDEN DATA'!$C:$C)</f>
        <v>2022-2023</v>
      </c>
      <c r="D426" s="227" t="s">
        <v>185</v>
      </c>
      <c r="E426" s="228" t="str">
        <f>VLOOKUP(D426,'PLAN COMPTABLE'!$C:$D,2,0)</f>
        <v>Charge</v>
      </c>
      <c r="F426" s="227" t="s">
        <v>279</v>
      </c>
      <c r="G426" s="229" t="s">
        <v>267</v>
      </c>
      <c r="H426" s="227" t="s">
        <v>140</v>
      </c>
      <c r="I426" s="230">
        <v>60</v>
      </c>
      <c r="J426" s="231" t="s">
        <v>356</v>
      </c>
    </row>
    <row r="427" spans="1:11" ht="12.5" x14ac:dyDescent="0.35">
      <c r="A427" s="224">
        <v>339</v>
      </c>
      <c r="B427" s="225">
        <v>45105</v>
      </c>
      <c r="C427" s="226" t="str">
        <f>LOOKUP(B427,'HIDDEN DATA'!$A:$B,'HIDDEN DATA'!$C:$C)</f>
        <v>2022-2023</v>
      </c>
      <c r="D427" s="227" t="s">
        <v>185</v>
      </c>
      <c r="E427" s="228" t="str">
        <f>VLOOKUP(D427,'PLAN COMPTABLE'!$C:$D,2,0)</f>
        <v>Charge</v>
      </c>
      <c r="F427" s="227" t="s">
        <v>279</v>
      </c>
      <c r="G427" s="229" t="s">
        <v>267</v>
      </c>
      <c r="H427" s="227" t="s">
        <v>140</v>
      </c>
      <c r="I427" s="230">
        <v>60</v>
      </c>
      <c r="J427" s="231" t="s">
        <v>357</v>
      </c>
    </row>
    <row r="428" spans="1:11" ht="12.5" x14ac:dyDescent="0.35">
      <c r="A428" s="224">
        <v>340</v>
      </c>
      <c r="B428" s="225">
        <v>45106</v>
      </c>
      <c r="C428" s="226" t="str">
        <f>LOOKUP(B428,'HIDDEN DATA'!$A:$B,'HIDDEN DATA'!$C:$C)</f>
        <v>2022-2023</v>
      </c>
      <c r="D428" s="227" t="s">
        <v>185</v>
      </c>
      <c r="E428" s="228" t="str">
        <f>VLOOKUP(D428,'PLAN COMPTABLE'!$C:$D,2,0)</f>
        <v>Charge</v>
      </c>
      <c r="F428" s="227"/>
      <c r="G428" s="229"/>
      <c r="H428" s="227" t="s">
        <v>140</v>
      </c>
      <c r="I428" s="230">
        <v>60</v>
      </c>
      <c r="J428" s="231" t="s">
        <v>358</v>
      </c>
    </row>
    <row r="429" spans="1:11" ht="12.5" x14ac:dyDescent="0.35">
      <c r="A429" s="224">
        <v>341</v>
      </c>
      <c r="B429" s="225">
        <v>45106</v>
      </c>
      <c r="C429" s="226" t="str">
        <f>LOOKUP(B429,'HIDDEN DATA'!$A:$B,'HIDDEN DATA'!$C:$C)</f>
        <v>2022-2023</v>
      </c>
      <c r="D429" s="227" t="s">
        <v>185</v>
      </c>
      <c r="E429" s="228" t="str">
        <f>VLOOKUP(D429,'PLAN COMPTABLE'!$C:$D,2,0)</f>
        <v>Charge</v>
      </c>
      <c r="F429" s="227"/>
      <c r="G429" s="229"/>
      <c r="H429" s="227" t="s">
        <v>140</v>
      </c>
      <c r="I429" s="230">
        <v>60</v>
      </c>
      <c r="J429" s="231" t="s">
        <v>359</v>
      </c>
    </row>
    <row r="430" spans="1:11" ht="12.5" x14ac:dyDescent="0.35">
      <c r="A430" s="224">
        <v>342</v>
      </c>
      <c r="B430" s="225">
        <v>45118</v>
      </c>
      <c r="C430" s="226" t="str">
        <f>LOOKUP(B430,'HIDDEN DATA'!$A:$B,'HIDDEN DATA'!$C:$C)</f>
        <v>2022-2023</v>
      </c>
      <c r="D430" s="227" t="s">
        <v>257</v>
      </c>
      <c r="E430" s="228" t="str">
        <f>VLOOKUP(D430,'PLAN COMPTABLE'!$C:$D,2,0)</f>
        <v>Produit</v>
      </c>
      <c r="F430" s="227"/>
      <c r="G430" s="229"/>
      <c r="H430" s="227" t="s">
        <v>140</v>
      </c>
      <c r="I430" s="230">
        <v>1190</v>
      </c>
      <c r="J430" s="231" t="s">
        <v>360</v>
      </c>
    </row>
    <row r="431" spans="1:11" ht="12.5" x14ac:dyDescent="0.35">
      <c r="A431" s="224">
        <v>343</v>
      </c>
      <c r="B431" s="225">
        <v>45195</v>
      </c>
      <c r="C431" s="226" t="str">
        <f>LOOKUP(B431,'HIDDEN DATA'!$A:$B,'HIDDEN DATA'!$C:$C)</f>
        <v>2023-2024</v>
      </c>
      <c r="D431" s="227" t="s">
        <v>143</v>
      </c>
      <c r="E431" s="228" t="str">
        <f>VLOOKUP(D431,'PLAN COMPTABLE'!$C:$D,2,0)</f>
        <v>Charge</v>
      </c>
      <c r="F431" s="227"/>
      <c r="G431" s="229"/>
      <c r="H431" s="227" t="s">
        <v>140</v>
      </c>
      <c r="I431" s="230">
        <v>50.69</v>
      </c>
      <c r="J431" s="231" t="s">
        <v>361</v>
      </c>
    </row>
    <row r="432" spans="1:11" ht="12.5" x14ac:dyDescent="0.35">
      <c r="A432" s="224">
        <v>344</v>
      </c>
      <c r="B432" s="225">
        <v>45175</v>
      </c>
      <c r="C432" s="226" t="str">
        <f>LOOKUP(B432,'HIDDEN DATA'!$A:$B,'HIDDEN DATA'!$C:$C)</f>
        <v>2023-2024</v>
      </c>
      <c r="D432" s="227" t="s">
        <v>204</v>
      </c>
      <c r="E432" s="228" t="str">
        <f>VLOOKUP(D432,'PLAN COMPTABLE'!$C:$D,2,0)</f>
        <v>Charge</v>
      </c>
      <c r="F432" s="227"/>
      <c r="G432" s="229"/>
      <c r="H432" s="227" t="s">
        <v>140</v>
      </c>
      <c r="I432" s="230">
        <v>10.93</v>
      </c>
      <c r="J432" s="231" t="s">
        <v>362</v>
      </c>
    </row>
    <row r="433" spans="1:10" ht="12.5" x14ac:dyDescent="0.35">
      <c r="A433" s="224">
        <v>345</v>
      </c>
      <c r="B433" s="225">
        <v>45175</v>
      </c>
      <c r="C433" s="226" t="str">
        <f>LOOKUP(B433,'HIDDEN DATA'!$A:$B,'HIDDEN DATA'!$C:$C)</f>
        <v>2023-2024</v>
      </c>
      <c r="D433" s="227" t="s">
        <v>204</v>
      </c>
      <c r="E433" s="228" t="str">
        <f>VLOOKUP(D433,'PLAN COMPTABLE'!$C:$D,2,0)</f>
        <v>Charge</v>
      </c>
      <c r="F433" s="227"/>
      <c r="G433" s="229"/>
      <c r="H433" s="227" t="s">
        <v>140</v>
      </c>
      <c r="I433" s="230">
        <v>81</v>
      </c>
      <c r="J433" s="231" t="s">
        <v>362</v>
      </c>
    </row>
    <row r="434" spans="1:10" ht="12.5" x14ac:dyDescent="0.35">
      <c r="A434" s="224"/>
      <c r="B434" s="225">
        <v>45139</v>
      </c>
      <c r="C434" s="226" t="str">
        <f>LOOKUP(B434,'HIDDEN DATA'!$A:$B,'HIDDEN DATA'!$C:$C)</f>
        <v>2022-2023</v>
      </c>
      <c r="D434" s="227" t="s">
        <v>237</v>
      </c>
      <c r="E434" s="228" t="str">
        <f>VLOOKUP(D434,'PLAN COMPTABLE'!$C:$D,2,0)</f>
        <v>Charge</v>
      </c>
      <c r="F434" s="227"/>
      <c r="G434" s="229"/>
      <c r="H434" s="227" t="s">
        <v>140</v>
      </c>
      <c r="I434" s="230">
        <f>5.95*12</f>
        <v>71.400000000000006</v>
      </c>
      <c r="J434" s="231" t="s">
        <v>363</v>
      </c>
    </row>
    <row r="435" spans="1:10" ht="12.5" x14ac:dyDescent="0.35">
      <c r="A435" s="224">
        <v>346</v>
      </c>
      <c r="B435" s="225">
        <v>45205</v>
      </c>
      <c r="C435" s="226" t="str">
        <f>LOOKUP(B435,'HIDDEN DATA'!$A:$B,'HIDDEN DATA'!$C:$C)</f>
        <v>2023-2024</v>
      </c>
      <c r="D435" s="234" t="s">
        <v>85</v>
      </c>
      <c r="E435" s="228" t="str">
        <f>VLOOKUP(D435,'PLAN COMPTABLE'!$C:$D,2,0)</f>
        <v>Charge</v>
      </c>
      <c r="F435" s="227"/>
      <c r="G435" s="229"/>
      <c r="H435" s="227" t="s">
        <v>140</v>
      </c>
      <c r="I435" s="230">
        <v>94</v>
      </c>
      <c r="J435" s="231" t="s">
        <v>364</v>
      </c>
    </row>
    <row r="436" spans="1:10" ht="12.5" x14ac:dyDescent="0.35">
      <c r="A436" s="224">
        <v>347</v>
      </c>
      <c r="B436" s="225">
        <v>45205</v>
      </c>
      <c r="C436" s="226" t="str">
        <f>LOOKUP(B436,'HIDDEN DATA'!$A:$B,'HIDDEN DATA'!$C:$C)</f>
        <v>2023-2024</v>
      </c>
      <c r="D436" s="227" t="s">
        <v>156</v>
      </c>
      <c r="E436" s="228" t="str">
        <f>VLOOKUP(D436,'PLAN COMPTABLE'!$C:$D,2,0)</f>
        <v>Charge</v>
      </c>
      <c r="F436" s="227"/>
      <c r="G436" s="229"/>
      <c r="H436" s="227" t="s">
        <v>140</v>
      </c>
      <c r="I436" s="230">
        <v>35.770000000000003</v>
      </c>
      <c r="J436" s="231" t="s">
        <v>365</v>
      </c>
    </row>
    <row r="437" spans="1:10" ht="12.5" x14ac:dyDescent="0.35">
      <c r="A437" s="224">
        <v>348</v>
      </c>
      <c r="B437" s="225">
        <v>45204</v>
      </c>
      <c r="C437" s="226" t="str">
        <f>LOOKUP(B437,'HIDDEN DATA'!$A:$B,'HIDDEN DATA'!$C:$C)</f>
        <v>2023-2024</v>
      </c>
      <c r="D437" s="227" t="s">
        <v>499</v>
      </c>
      <c r="E437" s="228" t="str">
        <f>VLOOKUP(D437,'PLAN COMPTABLE'!$C:$D,2,0)</f>
        <v>Charge</v>
      </c>
      <c r="F437" s="227"/>
      <c r="G437" s="229"/>
      <c r="H437" s="227" t="s">
        <v>140</v>
      </c>
      <c r="I437" s="230">
        <v>26.5</v>
      </c>
      <c r="J437" s="231" t="s">
        <v>366</v>
      </c>
    </row>
    <row r="438" spans="1:10" ht="12.5" x14ac:dyDescent="0.35">
      <c r="A438" s="224">
        <v>349</v>
      </c>
      <c r="B438" s="225">
        <v>45211</v>
      </c>
      <c r="C438" s="226" t="str">
        <f>LOOKUP(B438,'HIDDEN DATA'!$A:$B,'HIDDEN DATA'!$C:$C)</f>
        <v>2023-2024</v>
      </c>
      <c r="D438" s="227" t="s">
        <v>85</v>
      </c>
      <c r="E438" s="228" t="str">
        <f>VLOOKUP(D438,'PLAN COMPTABLE'!$C:$D,2,0)</f>
        <v>Charge</v>
      </c>
      <c r="F438" s="227"/>
      <c r="G438" s="229"/>
      <c r="H438" s="227" t="s">
        <v>140</v>
      </c>
      <c r="I438" s="230">
        <v>35.64</v>
      </c>
      <c r="J438" s="231" t="s">
        <v>367</v>
      </c>
    </row>
    <row r="439" spans="1:10" ht="12.5" x14ac:dyDescent="0.35">
      <c r="A439" s="224">
        <v>350</v>
      </c>
      <c r="B439" s="18">
        <v>45211</v>
      </c>
      <c r="C439" s="226" t="str">
        <f>LOOKUP(B439,'HIDDEN DATA'!$A:$B,'HIDDEN DATA'!$C:$C)</f>
        <v>2023-2024</v>
      </c>
      <c r="D439" s="227" t="s">
        <v>156</v>
      </c>
      <c r="E439" s="228" t="str">
        <f>VLOOKUP(D439,'PLAN COMPTABLE'!$C:$D,2,0)</f>
        <v>Charge</v>
      </c>
      <c r="F439" s="227"/>
      <c r="G439" s="229"/>
      <c r="H439" s="227" t="s">
        <v>140</v>
      </c>
      <c r="I439" s="235">
        <v>11.98</v>
      </c>
      <c r="J439" s="166" t="s">
        <v>368</v>
      </c>
    </row>
    <row r="440" spans="1:10" ht="12.5" x14ac:dyDescent="0.35">
      <c r="A440" s="224">
        <v>351</v>
      </c>
      <c r="B440" s="225">
        <v>45215</v>
      </c>
      <c r="C440" s="226" t="str">
        <f>LOOKUP(B440,'HIDDEN DATA'!$A:$B,'HIDDEN DATA'!$C:$C)</f>
        <v>2023-2024</v>
      </c>
      <c r="D440" s="227" t="s">
        <v>156</v>
      </c>
      <c r="E440" s="228" t="str">
        <f>VLOOKUP(D440,'PLAN COMPTABLE'!$C:$D,2,0)</f>
        <v>Charge</v>
      </c>
      <c r="F440" s="227"/>
      <c r="G440" s="229"/>
      <c r="H440" s="227" t="s">
        <v>140</v>
      </c>
      <c r="I440" s="230">
        <v>9.5</v>
      </c>
      <c r="J440" s="231" t="s">
        <v>369</v>
      </c>
    </row>
    <row r="441" spans="1:10" ht="12.5" x14ac:dyDescent="0.35">
      <c r="A441" s="224">
        <v>352</v>
      </c>
      <c r="B441" s="225">
        <v>45209</v>
      </c>
      <c r="C441" s="226" t="str">
        <f>LOOKUP(B441,'HIDDEN DATA'!$A:$B,'HIDDEN DATA'!$C:$C)</f>
        <v>2023-2024</v>
      </c>
      <c r="D441" s="227" t="s">
        <v>219</v>
      </c>
      <c r="E441" s="228" t="str">
        <f>VLOOKUP(D441,'PLAN COMPTABLE'!$C:$D,2,0)</f>
        <v>Charge</v>
      </c>
      <c r="F441" s="227"/>
      <c r="G441" s="229"/>
      <c r="H441" s="227" t="s">
        <v>140</v>
      </c>
      <c r="I441" s="230">
        <v>183.83</v>
      </c>
      <c r="J441" s="231" t="s">
        <v>370</v>
      </c>
    </row>
    <row r="442" spans="1:10" ht="12.5" x14ac:dyDescent="0.35">
      <c r="A442" s="224">
        <v>353</v>
      </c>
      <c r="B442" s="225">
        <v>45226</v>
      </c>
      <c r="C442" s="226" t="str">
        <f>LOOKUP(B442,'HIDDEN DATA'!$A:$B,'HIDDEN DATA'!$C:$C)</f>
        <v>2023-2024</v>
      </c>
      <c r="D442" s="227" t="s">
        <v>153</v>
      </c>
      <c r="E442" s="228" t="str">
        <f>VLOOKUP(D442,'PLAN COMPTABLE'!$C:$D,2,0)</f>
        <v>Charge</v>
      </c>
      <c r="F442" s="227"/>
      <c r="G442" s="229"/>
      <c r="H442" s="227" t="s">
        <v>140</v>
      </c>
      <c r="I442" s="230">
        <v>317.33</v>
      </c>
      <c r="J442" s="231" t="s">
        <v>371</v>
      </c>
    </row>
    <row r="443" spans="1:10" ht="12.5" x14ac:dyDescent="0.35">
      <c r="A443" s="224">
        <v>354</v>
      </c>
      <c r="B443" s="225">
        <v>45230</v>
      </c>
      <c r="C443" s="226" t="str">
        <f>LOOKUP(B443,'HIDDEN DATA'!$A:$B,'HIDDEN DATA'!$C:$C)</f>
        <v>2023-2024</v>
      </c>
      <c r="D443" s="227" t="s">
        <v>146</v>
      </c>
      <c r="E443" s="228" t="str">
        <f>VLOOKUP(D443,'PLAN COMPTABLE'!$C:$D,2,0)</f>
        <v>Charge</v>
      </c>
      <c r="F443" s="227"/>
      <c r="G443" s="229"/>
      <c r="H443" s="227" t="s">
        <v>140</v>
      </c>
      <c r="I443" s="230">
        <v>12.99</v>
      </c>
      <c r="J443" s="231" t="s">
        <v>372</v>
      </c>
    </row>
    <row r="444" spans="1:10" ht="12.5" x14ac:dyDescent="0.35">
      <c r="A444" s="224">
        <v>355</v>
      </c>
      <c r="B444" s="225">
        <v>45225</v>
      </c>
      <c r="C444" s="226" t="str">
        <f>LOOKUP(B444,'HIDDEN DATA'!$A:$B,'HIDDEN DATA'!$C:$C)</f>
        <v>2023-2024</v>
      </c>
      <c r="D444" s="227" t="s">
        <v>85</v>
      </c>
      <c r="E444" s="228" t="str">
        <f>VLOOKUP(D444,'PLAN COMPTABLE'!$C:$D,2,0)</f>
        <v>Charge</v>
      </c>
      <c r="F444" s="227"/>
      <c r="G444" s="229"/>
      <c r="H444" s="227" t="s">
        <v>140</v>
      </c>
      <c r="I444" s="230">
        <v>8.1300000000000008</v>
      </c>
      <c r="J444" s="231" t="s">
        <v>373</v>
      </c>
    </row>
    <row r="445" spans="1:10" ht="12.5" x14ac:dyDescent="0.35">
      <c r="A445" s="224">
        <v>356</v>
      </c>
      <c r="B445" s="225">
        <v>45232</v>
      </c>
      <c r="C445" s="226" t="str">
        <f>LOOKUP(B445,'HIDDEN DATA'!$A:$B,'HIDDEN DATA'!$C:$C)</f>
        <v>2023-2024</v>
      </c>
      <c r="D445" s="227" t="s">
        <v>85</v>
      </c>
      <c r="E445" s="228" t="str">
        <f>VLOOKUP(D445,'PLAN COMPTABLE'!$C:$D,2,0)</f>
        <v>Charge</v>
      </c>
      <c r="F445" s="227"/>
      <c r="G445" s="229"/>
      <c r="H445" s="227" t="s">
        <v>140</v>
      </c>
      <c r="I445" s="230">
        <v>16.53</v>
      </c>
      <c r="J445" s="231" t="s">
        <v>373</v>
      </c>
    </row>
    <row r="446" spans="1:10" ht="12.5" x14ac:dyDescent="0.35">
      <c r="A446" s="224">
        <v>357</v>
      </c>
      <c r="B446" s="225">
        <v>45212</v>
      </c>
      <c r="C446" s="226" t="str">
        <f>LOOKUP(B446,'HIDDEN DATA'!$A:$B,'HIDDEN DATA'!$C:$C)</f>
        <v>2023-2024</v>
      </c>
      <c r="D446" s="227" t="s">
        <v>219</v>
      </c>
      <c r="E446" s="228" t="str">
        <f>VLOOKUP(D446,'PLAN COMPTABLE'!$C:$D,2,0)</f>
        <v>Charge</v>
      </c>
      <c r="F446" s="227"/>
      <c r="G446" s="229"/>
      <c r="H446" s="227" t="s">
        <v>140</v>
      </c>
      <c r="I446" s="230">
        <v>53.01</v>
      </c>
      <c r="J446" s="231" t="s">
        <v>374</v>
      </c>
    </row>
    <row r="447" spans="1:10" ht="12.5" x14ac:dyDescent="0.35">
      <c r="A447" s="224">
        <v>358</v>
      </c>
      <c r="B447" s="225">
        <v>45239</v>
      </c>
      <c r="C447" s="226" t="str">
        <f>LOOKUP(B447,'HIDDEN DATA'!$A:$B,'HIDDEN DATA'!$C:$C)</f>
        <v>2023-2024</v>
      </c>
      <c r="D447" s="227" t="s">
        <v>85</v>
      </c>
      <c r="E447" s="228" t="str">
        <f>VLOOKUP(D447,'PLAN COMPTABLE'!$C:$D,2,0)</f>
        <v>Charge</v>
      </c>
      <c r="F447" s="227"/>
      <c r="G447" s="229"/>
      <c r="H447" s="227" t="s">
        <v>140</v>
      </c>
      <c r="I447" s="230">
        <v>8.11</v>
      </c>
      <c r="J447" s="231" t="s">
        <v>373</v>
      </c>
    </row>
    <row r="448" spans="1:10" ht="12.5" x14ac:dyDescent="0.35">
      <c r="A448" s="224">
        <v>359</v>
      </c>
      <c r="B448" s="225">
        <v>45191</v>
      </c>
      <c r="C448" s="226" t="str">
        <f>LOOKUP(B448,'HIDDEN DATA'!$A:$B,'HIDDEN DATA'!$C:$C)</f>
        <v>2023-2024</v>
      </c>
      <c r="D448" s="227" t="s">
        <v>143</v>
      </c>
      <c r="E448" s="228" t="str">
        <f>VLOOKUP(D448,'PLAN COMPTABLE'!$C:$D,2,0)</f>
        <v>Charge</v>
      </c>
      <c r="F448" s="227"/>
      <c r="G448" s="229"/>
      <c r="H448" s="227" t="s">
        <v>140</v>
      </c>
      <c r="I448" s="230">
        <v>50.59</v>
      </c>
      <c r="J448" s="231" t="s">
        <v>375</v>
      </c>
    </row>
    <row r="449" spans="1:10" ht="12.5" x14ac:dyDescent="0.35">
      <c r="A449" s="224">
        <v>360</v>
      </c>
      <c r="B449" s="225">
        <v>45246</v>
      </c>
      <c r="C449" s="226" t="str">
        <f>LOOKUP(B449,'HIDDEN DATA'!$A:$B,'HIDDEN DATA'!$C:$C)</f>
        <v>2023-2024</v>
      </c>
      <c r="D449" s="227" t="s">
        <v>146</v>
      </c>
      <c r="E449" s="228" t="str">
        <f>VLOOKUP(D449,'PLAN COMPTABLE'!$C:$D,2,0)</f>
        <v>Charge</v>
      </c>
      <c r="F449" s="227"/>
      <c r="G449" s="229"/>
      <c r="H449" s="227" t="s">
        <v>140</v>
      </c>
      <c r="I449" s="230">
        <v>6.58</v>
      </c>
      <c r="J449" s="231" t="s">
        <v>327</v>
      </c>
    </row>
    <row r="450" spans="1:10" ht="12.5" x14ac:dyDescent="0.35">
      <c r="A450" s="224">
        <v>361</v>
      </c>
      <c r="B450" s="225">
        <v>45139</v>
      </c>
      <c r="C450" s="226" t="str">
        <f>LOOKUP(B450,'HIDDEN DATA'!$A:$B,'HIDDEN DATA'!$C:$C)</f>
        <v>2022-2023</v>
      </c>
      <c r="D450" s="227" t="s">
        <v>335</v>
      </c>
      <c r="E450" s="228" t="str">
        <f>VLOOKUP(D450,'PLAN COMPTABLE'!$C:$D,2,0)</f>
        <v>Produit</v>
      </c>
      <c r="F450" s="227"/>
      <c r="G450" s="229"/>
      <c r="H450" s="227" t="s">
        <v>140</v>
      </c>
      <c r="I450" s="230">
        <v>450</v>
      </c>
      <c r="J450" s="231" t="s">
        <v>376</v>
      </c>
    </row>
    <row r="451" spans="1:10" ht="12.5" x14ac:dyDescent="0.35">
      <c r="A451" s="224">
        <v>362</v>
      </c>
      <c r="B451" s="225">
        <v>45104</v>
      </c>
      <c r="C451" s="226" t="str">
        <f>LOOKUP(B451,'HIDDEN DATA'!$A:$B,'HIDDEN DATA'!$C:$C)</f>
        <v>2022-2023</v>
      </c>
      <c r="D451" s="227" t="s">
        <v>169</v>
      </c>
      <c r="E451" s="228" t="str">
        <f>VLOOKUP(D451,'PLAN COMPTABLE'!$C:$D,2,0)</f>
        <v>Produit</v>
      </c>
      <c r="F451" s="227"/>
      <c r="G451" s="229"/>
      <c r="H451" s="227" t="s">
        <v>140</v>
      </c>
      <c r="I451" s="230">
        <f>1909.5+1260</f>
        <v>3169.5</v>
      </c>
      <c r="J451" s="231"/>
    </row>
    <row r="452" spans="1:10" ht="12.5" x14ac:dyDescent="0.35">
      <c r="A452" s="224">
        <v>363</v>
      </c>
      <c r="B452" s="225">
        <v>45226</v>
      </c>
      <c r="C452" s="226" t="str">
        <f>LOOKUP(B452,'HIDDEN DATA'!$A:$B,'HIDDEN DATA'!$C:$C)</f>
        <v>2023-2024</v>
      </c>
      <c r="D452" s="227" t="s">
        <v>167</v>
      </c>
      <c r="E452" s="228" t="str">
        <f>VLOOKUP(D452,'PLAN COMPTABLE'!$C:$D,2,0)</f>
        <v>Produit</v>
      </c>
      <c r="F452" s="227"/>
      <c r="G452" s="229"/>
      <c r="H452" s="227" t="s">
        <v>140</v>
      </c>
      <c r="I452" s="230">
        <f>2173.5+915</f>
        <v>3088.5</v>
      </c>
      <c r="J452" s="231"/>
    </row>
    <row r="453" spans="1:10" ht="12.5" x14ac:dyDescent="0.35">
      <c r="A453" s="224">
        <v>364</v>
      </c>
      <c r="B453" s="225">
        <v>45253</v>
      </c>
      <c r="C453" s="226" t="str">
        <f>LOOKUP(B453,'HIDDEN DATA'!$A:$B,'HIDDEN DATA'!$C:$C)</f>
        <v>2023-2024</v>
      </c>
      <c r="D453" s="227" t="s">
        <v>85</v>
      </c>
      <c r="E453" s="228" t="str">
        <f>VLOOKUP(D453,'PLAN COMPTABLE'!$C:$D,2,0)</f>
        <v>Charge</v>
      </c>
      <c r="F453" s="227"/>
      <c r="G453" s="229"/>
      <c r="H453" s="227" t="s">
        <v>140</v>
      </c>
      <c r="I453" s="230">
        <v>53</v>
      </c>
      <c r="J453" s="231" t="s">
        <v>377</v>
      </c>
    </row>
    <row r="454" spans="1:10" ht="12.5" x14ac:dyDescent="0.35">
      <c r="A454" s="224">
        <v>365</v>
      </c>
      <c r="B454" s="225">
        <v>45260</v>
      </c>
      <c r="C454" s="226" t="str">
        <f>LOOKUP(B454,'HIDDEN DATA'!$A:$B,'HIDDEN DATA'!$C:$C)</f>
        <v>2023-2024</v>
      </c>
      <c r="D454" s="227" t="s">
        <v>85</v>
      </c>
      <c r="E454" s="228" t="str">
        <f>VLOOKUP(D454,'PLAN COMPTABLE'!$C:$D,2,0)</f>
        <v>Charge</v>
      </c>
      <c r="F454" s="227"/>
      <c r="G454" s="229"/>
      <c r="H454" s="227" t="s">
        <v>140</v>
      </c>
      <c r="I454" s="230">
        <v>33.69</v>
      </c>
      <c r="J454" s="231" t="s">
        <v>378</v>
      </c>
    </row>
    <row r="455" spans="1:10" ht="12.5" x14ac:dyDescent="0.35">
      <c r="A455" s="224">
        <v>366</v>
      </c>
      <c r="B455" s="225">
        <v>45266</v>
      </c>
      <c r="C455" s="226" t="str">
        <f>LOOKUP(B455,'HIDDEN DATA'!$A:$B,'HIDDEN DATA'!$C:$C)</f>
        <v>2023-2024</v>
      </c>
      <c r="D455" s="227" t="s">
        <v>252</v>
      </c>
      <c r="E455" s="228" t="str">
        <f>VLOOKUP(D455,'PLAN COMPTABLE'!$C:$D,2,0)</f>
        <v>Charge</v>
      </c>
      <c r="F455" s="227"/>
      <c r="G455" s="229"/>
      <c r="H455" s="227" t="s">
        <v>140</v>
      </c>
      <c r="I455" s="230">
        <v>400</v>
      </c>
      <c r="J455" s="231"/>
    </row>
    <row r="456" spans="1:10" ht="12.5" x14ac:dyDescent="0.35">
      <c r="A456" s="224">
        <v>367</v>
      </c>
      <c r="B456" s="225">
        <v>45267</v>
      </c>
      <c r="C456" s="226" t="str">
        <f>LOOKUP(B456,'HIDDEN DATA'!$A:$B,'HIDDEN DATA'!$C:$C)</f>
        <v>2023-2024</v>
      </c>
      <c r="D456" s="227" t="s">
        <v>85</v>
      </c>
      <c r="E456" s="228" t="str">
        <f>VLOOKUP(D456,'PLAN COMPTABLE'!$C:$D,2,0)</f>
        <v>Charge</v>
      </c>
      <c r="F456" s="227"/>
      <c r="G456" s="229"/>
      <c r="H456" s="227" t="s">
        <v>140</v>
      </c>
      <c r="I456" s="230">
        <v>52.89</v>
      </c>
      <c r="J456" s="231" t="s">
        <v>379</v>
      </c>
    </row>
    <row r="457" spans="1:10" ht="12.5" x14ac:dyDescent="0.35">
      <c r="A457" s="224">
        <v>368</v>
      </c>
      <c r="B457" s="225">
        <v>45139</v>
      </c>
      <c r="C457" s="226" t="str">
        <f>LOOKUP(B457,'HIDDEN DATA'!$A:$B,'HIDDEN DATA'!$C:$C)</f>
        <v>2022-2023</v>
      </c>
      <c r="D457" s="227" t="s">
        <v>215</v>
      </c>
      <c r="E457" s="228" t="str">
        <f>VLOOKUP(D457,'PLAN COMPTABLE'!$C:$D,2,0)</f>
        <v>Charge</v>
      </c>
      <c r="F457" s="227"/>
      <c r="G457" s="229"/>
      <c r="H457" s="227" t="s">
        <v>140</v>
      </c>
      <c r="I457" s="230">
        <v>60</v>
      </c>
      <c r="J457" s="231" t="s">
        <v>380</v>
      </c>
    </row>
    <row r="458" spans="1:10" ht="12.5" x14ac:dyDescent="0.35">
      <c r="A458" s="224">
        <v>369</v>
      </c>
      <c r="B458" s="225">
        <v>45139</v>
      </c>
      <c r="C458" s="226" t="str">
        <f>LOOKUP(B458,'HIDDEN DATA'!$A:$B,'HIDDEN DATA'!$C:$C)</f>
        <v>2022-2023</v>
      </c>
      <c r="D458" s="227" t="s">
        <v>215</v>
      </c>
      <c r="E458" s="228" t="str">
        <f>VLOOKUP(D458,'PLAN COMPTABLE'!$C:$D,2,0)</f>
        <v>Charge</v>
      </c>
      <c r="F458" s="227"/>
      <c r="G458" s="229"/>
      <c r="H458" s="227" t="s">
        <v>140</v>
      </c>
      <c r="I458" s="230">
        <v>60</v>
      </c>
      <c r="J458" s="231" t="s">
        <v>381</v>
      </c>
    </row>
    <row r="459" spans="1:10" ht="12.5" x14ac:dyDescent="0.35">
      <c r="A459" s="224">
        <v>370</v>
      </c>
      <c r="B459" s="225">
        <v>45139</v>
      </c>
      <c r="C459" s="226" t="str">
        <f>LOOKUP(B459,'HIDDEN DATA'!$A:$B,'HIDDEN DATA'!$C:$C)</f>
        <v>2022-2023</v>
      </c>
      <c r="D459" s="227" t="s">
        <v>215</v>
      </c>
      <c r="E459" s="228" t="str">
        <f>VLOOKUP(D459,'PLAN COMPTABLE'!$C:$D,2,0)</f>
        <v>Charge</v>
      </c>
      <c r="F459" s="227"/>
      <c r="G459" s="229"/>
      <c r="H459" s="227" t="s">
        <v>140</v>
      </c>
      <c r="I459" s="230">
        <v>60</v>
      </c>
      <c r="J459" s="231" t="s">
        <v>382</v>
      </c>
    </row>
    <row r="460" spans="1:10" ht="12.5" x14ac:dyDescent="0.35">
      <c r="A460" s="224">
        <v>371</v>
      </c>
      <c r="B460" s="225">
        <v>45139</v>
      </c>
      <c r="C460" s="226" t="str">
        <f>LOOKUP(B460,'HIDDEN DATA'!$A:$B,'HIDDEN DATA'!$C:$C)</f>
        <v>2022-2023</v>
      </c>
      <c r="D460" s="227" t="s">
        <v>215</v>
      </c>
      <c r="E460" s="228" t="str">
        <f>VLOOKUP(D460,'PLAN COMPTABLE'!$C:$D,2,0)</f>
        <v>Charge</v>
      </c>
      <c r="F460" s="227"/>
      <c r="G460" s="229"/>
      <c r="H460" s="227" t="s">
        <v>140</v>
      </c>
      <c r="I460" s="230">
        <v>60</v>
      </c>
      <c r="J460" s="231" t="s">
        <v>383</v>
      </c>
    </row>
    <row r="461" spans="1:10" ht="12.5" x14ac:dyDescent="0.35">
      <c r="A461" s="224">
        <v>372</v>
      </c>
      <c r="B461" s="225">
        <v>45281</v>
      </c>
      <c r="C461" s="226" t="str">
        <f>LOOKUP(B461,'HIDDEN DATA'!$A:$B,'HIDDEN DATA'!$C:$C)</f>
        <v>2023-2024</v>
      </c>
      <c r="D461" s="227" t="s">
        <v>159</v>
      </c>
      <c r="E461" s="228" t="str">
        <f>VLOOKUP(D461,'PLAN COMPTABLE'!$C:$D,2,0)</f>
        <v>Charge</v>
      </c>
      <c r="F461" s="227"/>
      <c r="G461" s="229"/>
      <c r="H461" s="227" t="s">
        <v>140</v>
      </c>
      <c r="I461" s="230">
        <v>231.75</v>
      </c>
      <c r="J461" s="231" t="s">
        <v>384</v>
      </c>
    </row>
    <row r="462" spans="1:10" ht="12.5" x14ac:dyDescent="0.35">
      <c r="A462" s="224">
        <v>373</v>
      </c>
      <c r="B462" s="225">
        <v>45260</v>
      </c>
      <c r="C462" s="226" t="str">
        <f>LOOKUP(B462,'HIDDEN DATA'!$A:$B,'HIDDEN DATA'!$C:$C)</f>
        <v>2023-2024</v>
      </c>
      <c r="D462" s="227" t="s">
        <v>237</v>
      </c>
      <c r="E462" s="228" t="str">
        <f>VLOOKUP(D462,'PLAN COMPTABLE'!$C:$D,2,0)</f>
        <v>Charge</v>
      </c>
      <c r="F462" s="227"/>
      <c r="G462" s="229"/>
      <c r="H462" s="227" t="s">
        <v>140</v>
      </c>
      <c r="I462" s="230">
        <f>5.95*4</f>
        <v>23.8</v>
      </c>
      <c r="J462" s="231" t="s">
        <v>385</v>
      </c>
    </row>
    <row r="463" spans="1:10" ht="12.5" x14ac:dyDescent="0.35">
      <c r="A463" s="224">
        <v>374</v>
      </c>
      <c r="B463" s="225">
        <v>45300</v>
      </c>
      <c r="C463" s="226" t="str">
        <f>LOOKUP(B463,'HIDDEN DATA'!$A:$B,'HIDDEN DATA'!$C:$C)</f>
        <v>2023-2024</v>
      </c>
      <c r="D463" s="227" t="s">
        <v>175</v>
      </c>
      <c r="E463" s="228" t="str">
        <f>VLOOKUP(D463,'PLAN COMPTABLE'!$C:$D,2,0)</f>
        <v>Charge</v>
      </c>
      <c r="F463" s="227"/>
      <c r="G463" s="229"/>
      <c r="H463" s="227" t="s">
        <v>140</v>
      </c>
      <c r="I463" s="230">
        <v>1500</v>
      </c>
      <c r="J463" s="231"/>
    </row>
    <row r="464" spans="1:10" ht="12.5" x14ac:dyDescent="0.35">
      <c r="A464" s="224">
        <v>375</v>
      </c>
      <c r="B464" s="225">
        <v>45139</v>
      </c>
      <c r="C464" s="226" t="str">
        <f>LOOKUP(B464,'HIDDEN DATA'!$A:$B,'HIDDEN DATA'!$C:$C)</f>
        <v>2022-2023</v>
      </c>
      <c r="D464" s="227" t="s">
        <v>215</v>
      </c>
      <c r="E464" s="228" t="str">
        <f>VLOOKUP(D464,'PLAN COMPTABLE'!$C:$D,2,0)</f>
        <v>Charge</v>
      </c>
      <c r="F464" s="227"/>
      <c r="G464" s="229"/>
      <c r="H464" s="227" t="s">
        <v>140</v>
      </c>
      <c r="I464" s="230">
        <v>60</v>
      </c>
      <c r="J464" s="231" t="s">
        <v>386</v>
      </c>
    </row>
    <row r="465" spans="1:10" ht="12.5" x14ac:dyDescent="0.35">
      <c r="A465" s="224">
        <v>376</v>
      </c>
      <c r="B465" s="225">
        <v>45139</v>
      </c>
      <c r="C465" s="226" t="str">
        <f>LOOKUP(B465,'HIDDEN DATA'!$A:$B,'HIDDEN DATA'!$C:$C)</f>
        <v>2022-2023</v>
      </c>
      <c r="D465" s="227" t="s">
        <v>215</v>
      </c>
      <c r="E465" s="228" t="str">
        <f>VLOOKUP(D465,'PLAN COMPTABLE'!$C:$D,2,0)</f>
        <v>Charge</v>
      </c>
      <c r="F465" s="227"/>
      <c r="G465" s="229"/>
      <c r="H465" s="227" t="s">
        <v>140</v>
      </c>
      <c r="I465" s="230">
        <v>60</v>
      </c>
      <c r="J465" s="231" t="s">
        <v>387</v>
      </c>
    </row>
    <row r="466" spans="1:10" ht="12.5" x14ac:dyDescent="0.35">
      <c r="A466" s="224">
        <v>377</v>
      </c>
      <c r="B466" s="225">
        <v>45139</v>
      </c>
      <c r="C466" s="226" t="str">
        <f>LOOKUP(B466,'HIDDEN DATA'!$A:$B,'HIDDEN DATA'!$C:$C)</f>
        <v>2022-2023</v>
      </c>
      <c r="D466" s="227" t="s">
        <v>215</v>
      </c>
      <c r="E466" s="228" t="str">
        <f>VLOOKUP(D466,'PLAN COMPTABLE'!$C:$D,2,0)</f>
        <v>Charge</v>
      </c>
      <c r="F466" s="227"/>
      <c r="G466" s="229"/>
      <c r="H466" s="227" t="s">
        <v>140</v>
      </c>
      <c r="I466" s="230">
        <v>60</v>
      </c>
      <c r="J466" s="231" t="s">
        <v>388</v>
      </c>
    </row>
    <row r="467" spans="1:10" ht="12.5" x14ac:dyDescent="0.35">
      <c r="A467" s="224">
        <v>378</v>
      </c>
      <c r="B467" s="225">
        <v>45139</v>
      </c>
      <c r="C467" s="226" t="str">
        <f>LOOKUP(B467,'HIDDEN DATA'!$A:$B,'HIDDEN DATA'!$C:$C)</f>
        <v>2022-2023</v>
      </c>
      <c r="D467" s="227" t="s">
        <v>215</v>
      </c>
      <c r="E467" s="228" t="str">
        <f>VLOOKUP(D467,'PLAN COMPTABLE'!$C:$D,2,0)</f>
        <v>Charge</v>
      </c>
      <c r="F467" s="227"/>
      <c r="G467" s="229"/>
      <c r="H467" s="227" t="s">
        <v>140</v>
      </c>
      <c r="I467" s="230">
        <v>60</v>
      </c>
      <c r="J467" s="231" t="s">
        <v>389</v>
      </c>
    </row>
    <row r="468" spans="1:10" ht="12.5" x14ac:dyDescent="0.35">
      <c r="A468" s="224">
        <v>379</v>
      </c>
      <c r="B468" s="225">
        <v>45323</v>
      </c>
      <c r="C468" s="226" t="str">
        <f>LOOKUP(B468,'HIDDEN DATA'!$A:$B,'HIDDEN DATA'!$C:$C)</f>
        <v>2023-2024</v>
      </c>
      <c r="D468" s="227" t="s">
        <v>219</v>
      </c>
      <c r="E468" s="228" t="str">
        <f>VLOOKUP(D468,'PLAN COMPTABLE'!$C:$D,2,0)</f>
        <v>Charge</v>
      </c>
      <c r="F468" s="227"/>
      <c r="G468" s="229"/>
      <c r="H468" s="227" t="s">
        <v>140</v>
      </c>
      <c r="I468" s="230">
        <v>200</v>
      </c>
      <c r="J468" s="231" t="s">
        <v>390</v>
      </c>
    </row>
    <row r="469" spans="1:10" ht="12.5" x14ac:dyDescent="0.35">
      <c r="A469" s="224">
        <v>380</v>
      </c>
      <c r="B469" s="225">
        <v>45335</v>
      </c>
      <c r="C469" s="226" t="str">
        <f>LOOKUP(B469,'HIDDEN DATA'!$A:$B,'HIDDEN DATA'!$C:$C)</f>
        <v>2023-2024</v>
      </c>
      <c r="D469" s="227" t="s">
        <v>146</v>
      </c>
      <c r="E469" s="228" t="str">
        <f>VLOOKUP(D469,'PLAN COMPTABLE'!$C:$D,2,0)</f>
        <v>Charge</v>
      </c>
      <c r="F469" s="227"/>
      <c r="G469" s="229"/>
      <c r="H469" s="227" t="s">
        <v>140</v>
      </c>
      <c r="I469" s="230">
        <v>39.56</v>
      </c>
      <c r="J469" s="231" t="s">
        <v>391</v>
      </c>
    </row>
    <row r="470" spans="1:10" ht="12.5" x14ac:dyDescent="0.35">
      <c r="A470" s="224">
        <v>381</v>
      </c>
      <c r="B470" s="225">
        <v>45352</v>
      </c>
      <c r="C470" s="226" t="str">
        <f>LOOKUP(B470,'HIDDEN DATA'!$A:$B,'HIDDEN DATA'!$C:$C)</f>
        <v>2023-2024</v>
      </c>
      <c r="D470" s="227" t="s">
        <v>180</v>
      </c>
      <c r="E470" s="228" t="str">
        <f>VLOOKUP(D470,'PLAN COMPTABLE'!$C:$D,2,0)</f>
        <v>Charge</v>
      </c>
      <c r="F470" s="227"/>
      <c r="G470" s="229"/>
      <c r="H470" s="227" t="s">
        <v>140</v>
      </c>
      <c r="I470" s="230">
        <v>640.95000000000005</v>
      </c>
      <c r="J470" s="231" t="s">
        <v>392</v>
      </c>
    </row>
    <row r="471" spans="1:10" ht="12.5" x14ac:dyDescent="0.35">
      <c r="A471" s="224">
        <v>382</v>
      </c>
      <c r="B471" s="225">
        <v>45352</v>
      </c>
      <c r="C471" s="226" t="str">
        <f>LOOKUP(B471,'HIDDEN DATA'!$A:$B,'HIDDEN DATA'!$C:$C)</f>
        <v>2023-2024</v>
      </c>
      <c r="D471" s="227" t="s">
        <v>146</v>
      </c>
      <c r="E471" s="228" t="str">
        <f>VLOOKUP(D471,'PLAN COMPTABLE'!$C:$D,2,0)</f>
        <v>Charge</v>
      </c>
      <c r="F471" s="227"/>
      <c r="G471" s="229"/>
      <c r="H471" s="227" t="s">
        <v>140</v>
      </c>
      <c r="I471" s="230">
        <v>23.75</v>
      </c>
      <c r="J471" s="231" t="s">
        <v>393</v>
      </c>
    </row>
    <row r="472" spans="1:10" ht="12.5" x14ac:dyDescent="0.35">
      <c r="A472" s="224">
        <v>383</v>
      </c>
      <c r="B472" s="225">
        <v>45362</v>
      </c>
      <c r="C472" s="226" t="str">
        <f>LOOKUP(B472,'HIDDEN DATA'!$A:$B,'HIDDEN DATA'!$C:$C)</f>
        <v>2023-2024</v>
      </c>
      <c r="D472" s="227" t="s">
        <v>499</v>
      </c>
      <c r="E472" s="228" t="str">
        <f>VLOOKUP(D472,'PLAN COMPTABLE'!$C:$D,2,0)</f>
        <v>Charge</v>
      </c>
      <c r="F472" s="227"/>
      <c r="G472" s="229"/>
      <c r="H472" s="227" t="s">
        <v>140</v>
      </c>
      <c r="I472" s="230">
        <v>7.5</v>
      </c>
      <c r="J472" s="231" t="s">
        <v>394</v>
      </c>
    </row>
    <row r="473" spans="1:10" ht="12.5" x14ac:dyDescent="0.35">
      <c r="A473" s="224">
        <v>384</v>
      </c>
      <c r="B473" s="225">
        <v>45365</v>
      </c>
      <c r="C473" s="226" t="str">
        <f>LOOKUP(B473,'HIDDEN DATA'!$A:$B,'HIDDEN DATA'!$C:$C)</f>
        <v>2023-2024</v>
      </c>
      <c r="D473" s="227" t="s">
        <v>85</v>
      </c>
      <c r="E473" s="228" t="str">
        <f>VLOOKUP(D473,'PLAN COMPTABLE'!$C:$D,2,0)</f>
        <v>Charge</v>
      </c>
      <c r="F473" s="227"/>
      <c r="G473" s="229"/>
      <c r="H473" s="227" t="s">
        <v>140</v>
      </c>
      <c r="I473" s="230">
        <v>15.46</v>
      </c>
      <c r="J473" s="231" t="s">
        <v>395</v>
      </c>
    </row>
    <row r="474" spans="1:10" ht="12.5" x14ac:dyDescent="0.35">
      <c r="A474" s="224">
        <v>385</v>
      </c>
      <c r="B474" s="225">
        <v>45365</v>
      </c>
      <c r="C474" s="226" t="str">
        <f>LOOKUP(B474,'HIDDEN DATA'!$A:$B,'HIDDEN DATA'!$C:$C)</f>
        <v>2023-2024</v>
      </c>
      <c r="D474" s="227" t="s">
        <v>85</v>
      </c>
      <c r="E474" s="228" t="str">
        <f>VLOOKUP(D474,'PLAN COMPTABLE'!$C:$D,2,0)</f>
        <v>Charge</v>
      </c>
      <c r="F474" s="227"/>
      <c r="G474" s="229"/>
      <c r="H474" s="227" t="s">
        <v>140</v>
      </c>
      <c r="I474" s="230">
        <v>165.6</v>
      </c>
      <c r="J474" s="231" t="s">
        <v>396</v>
      </c>
    </row>
    <row r="475" spans="1:10" ht="12.5" x14ac:dyDescent="0.35">
      <c r="A475" s="224">
        <v>386</v>
      </c>
      <c r="B475" s="225">
        <v>45365</v>
      </c>
      <c r="C475" s="226" t="str">
        <f>LOOKUP(B475,'HIDDEN DATA'!$A:$B,'HIDDEN DATA'!$C:$C)</f>
        <v>2023-2024</v>
      </c>
      <c r="D475" s="227" t="s">
        <v>85</v>
      </c>
      <c r="E475" s="228" t="str">
        <f>VLOOKUP(D475,'PLAN COMPTABLE'!$C:$D,2,0)</f>
        <v>Charge</v>
      </c>
      <c r="F475" s="227"/>
      <c r="G475" s="229"/>
      <c r="H475" s="227" t="s">
        <v>140</v>
      </c>
      <c r="I475" s="230">
        <v>249.11</v>
      </c>
      <c r="J475" s="231" t="s">
        <v>397</v>
      </c>
    </row>
    <row r="476" spans="1:10" ht="12.5" x14ac:dyDescent="0.35">
      <c r="A476" s="224">
        <v>387</v>
      </c>
      <c r="B476" s="225">
        <v>45369</v>
      </c>
      <c r="C476" s="226" t="str">
        <f>LOOKUP(B476,'HIDDEN DATA'!$A:$B,'HIDDEN DATA'!$C:$C)</f>
        <v>2023-2024</v>
      </c>
      <c r="D476" s="227" t="s">
        <v>124</v>
      </c>
      <c r="E476" s="228" t="str">
        <f>VLOOKUP(D476,'PLAN COMPTABLE'!$C:$D,2,0)</f>
        <v>Charge</v>
      </c>
      <c r="F476" s="227"/>
      <c r="G476" s="229"/>
      <c r="H476" s="227" t="s">
        <v>140</v>
      </c>
      <c r="I476" s="230">
        <v>400</v>
      </c>
      <c r="J476" s="231" t="s">
        <v>398</v>
      </c>
    </row>
    <row r="477" spans="1:10" ht="12.5" x14ac:dyDescent="0.35">
      <c r="A477" s="224">
        <v>388</v>
      </c>
      <c r="B477" s="225">
        <v>45365</v>
      </c>
      <c r="C477" s="226" t="str">
        <f>LOOKUP(B477,'HIDDEN DATA'!$A:$B,'HIDDEN DATA'!$C:$C)</f>
        <v>2023-2024</v>
      </c>
      <c r="D477" s="227" t="s">
        <v>85</v>
      </c>
      <c r="E477" s="228" t="str">
        <f>VLOOKUP(D477,'PLAN COMPTABLE'!$C:$D,2,0)</f>
        <v>Charge</v>
      </c>
      <c r="F477" s="227"/>
      <c r="G477" s="229"/>
      <c r="H477" s="227" t="s">
        <v>140</v>
      </c>
      <c r="I477" s="230">
        <f>18.25+40.59</f>
        <v>58.84</v>
      </c>
      <c r="J477" s="231" t="s">
        <v>397</v>
      </c>
    </row>
    <row r="478" spans="1:10" ht="12.5" x14ac:dyDescent="0.35">
      <c r="A478" s="224">
        <v>389</v>
      </c>
      <c r="B478" s="225">
        <v>45371</v>
      </c>
      <c r="C478" s="226" t="str">
        <f>LOOKUP(B478,'HIDDEN DATA'!$A:$B,'HIDDEN DATA'!$C:$C)</f>
        <v>2023-2024</v>
      </c>
      <c r="D478" s="227" t="s">
        <v>499</v>
      </c>
      <c r="E478" s="228" t="str">
        <f>VLOOKUP(D478,'PLAN COMPTABLE'!$C:$D,2,0)</f>
        <v>Charge</v>
      </c>
      <c r="F478" s="227"/>
      <c r="G478" s="229"/>
      <c r="H478" s="227" t="s">
        <v>140</v>
      </c>
      <c r="I478" s="230">
        <v>200</v>
      </c>
      <c r="J478" s="231" t="s">
        <v>399</v>
      </c>
    </row>
    <row r="479" spans="1:10" ht="12.5" x14ac:dyDescent="0.35">
      <c r="A479" s="224">
        <v>390</v>
      </c>
      <c r="B479" s="225">
        <v>45377</v>
      </c>
      <c r="C479" s="226" t="str">
        <f>LOOKUP(B479,'HIDDEN DATA'!$A:$B,'HIDDEN DATA'!$C:$C)</f>
        <v>2023-2024</v>
      </c>
      <c r="D479" s="227" t="s">
        <v>499</v>
      </c>
      <c r="E479" s="228" t="str">
        <f>VLOOKUP(D479,'PLAN COMPTABLE'!$C:$D,2,0)</f>
        <v>Charge</v>
      </c>
      <c r="F479" s="227"/>
      <c r="G479" s="229"/>
      <c r="H479" s="227" t="s">
        <v>140</v>
      </c>
      <c r="I479" s="230">
        <v>183.09</v>
      </c>
      <c r="J479" s="231" t="s">
        <v>341</v>
      </c>
    </row>
    <row r="480" spans="1:10" ht="12.5" x14ac:dyDescent="0.35">
      <c r="A480" s="224">
        <v>391</v>
      </c>
      <c r="B480" s="225">
        <v>45378</v>
      </c>
      <c r="C480" s="226" t="str">
        <f>LOOKUP(B480,'HIDDEN DATA'!$A:$B,'HIDDEN DATA'!$C:$C)</f>
        <v>2023-2024</v>
      </c>
      <c r="D480" s="227" t="s">
        <v>245</v>
      </c>
      <c r="E480" s="228" t="str">
        <f>VLOOKUP(D480,'PLAN COMPTABLE'!$C:$D,2,0)</f>
        <v>Charge</v>
      </c>
      <c r="F480" s="227"/>
      <c r="G480" s="229"/>
      <c r="H480" s="227" t="s">
        <v>140</v>
      </c>
      <c r="I480" s="230">
        <v>183.09</v>
      </c>
      <c r="J480" s="231" t="s">
        <v>400</v>
      </c>
    </row>
    <row r="481" spans="1:10" ht="12.5" x14ac:dyDescent="0.35">
      <c r="A481" s="224">
        <v>392</v>
      </c>
      <c r="B481" s="225">
        <v>45379</v>
      </c>
      <c r="C481" s="226" t="str">
        <f>LOOKUP(B481,'HIDDEN DATA'!$A:$B,'HIDDEN DATA'!$C:$C)</f>
        <v>2023-2024</v>
      </c>
      <c r="D481" s="227" t="s">
        <v>183</v>
      </c>
      <c r="E481" s="228" t="str">
        <f>VLOOKUP(D481,'PLAN COMPTABLE'!$C:$D,2,0)</f>
        <v>Charge</v>
      </c>
      <c r="F481" s="227"/>
      <c r="G481" s="229"/>
      <c r="H481" s="227" t="s">
        <v>140</v>
      </c>
      <c r="I481" s="230">
        <v>183.09</v>
      </c>
      <c r="J481" s="231" t="s">
        <v>401</v>
      </c>
    </row>
    <row r="482" spans="1:10" ht="12.5" x14ac:dyDescent="0.35">
      <c r="A482" s="224">
        <v>393</v>
      </c>
      <c r="B482" s="225">
        <v>45359</v>
      </c>
      <c r="C482" s="226" t="str">
        <f>LOOKUP(B482,'HIDDEN DATA'!$A:$B,'HIDDEN DATA'!$C:$C)</f>
        <v>2023-2024</v>
      </c>
      <c r="D482" s="227" t="s">
        <v>291</v>
      </c>
      <c r="E482" s="228" t="str">
        <f>VLOOKUP(D482,'PLAN COMPTABLE'!$C:$D,2,0)</f>
        <v>Charge</v>
      </c>
      <c r="F482" s="227"/>
      <c r="G482" s="229"/>
      <c r="H482" s="227" t="s">
        <v>140</v>
      </c>
      <c r="I482" s="230">
        <v>401.96</v>
      </c>
      <c r="J482" s="231" t="s">
        <v>330</v>
      </c>
    </row>
    <row r="483" spans="1:10" ht="12.5" x14ac:dyDescent="0.35">
      <c r="A483" s="224">
        <v>394</v>
      </c>
      <c r="B483" s="225">
        <v>45378</v>
      </c>
      <c r="C483" s="226" t="str">
        <f>LOOKUP(B483,'HIDDEN DATA'!$A:$B,'HIDDEN DATA'!$C:$C)</f>
        <v>2023-2024</v>
      </c>
      <c r="D483" s="227" t="s">
        <v>183</v>
      </c>
      <c r="E483" s="228" t="str">
        <f>VLOOKUP(D483,'PLAN COMPTABLE'!$C:$D,2,0)</f>
        <v>Charge</v>
      </c>
      <c r="F483" s="227"/>
      <c r="G483" s="229"/>
      <c r="H483" s="227" t="s">
        <v>140</v>
      </c>
      <c r="I483" s="230">
        <v>200</v>
      </c>
      <c r="J483" s="231" t="s">
        <v>402</v>
      </c>
    </row>
    <row r="484" spans="1:10" ht="12.5" x14ac:dyDescent="0.35">
      <c r="A484" s="224">
        <v>395</v>
      </c>
      <c r="B484" s="225">
        <v>45378</v>
      </c>
      <c r="C484" s="226" t="str">
        <f>LOOKUP(B484,'HIDDEN DATA'!$A:$B,'HIDDEN DATA'!$C:$C)</f>
        <v>2023-2024</v>
      </c>
      <c r="D484" s="227" t="s">
        <v>183</v>
      </c>
      <c r="E484" s="228" t="str">
        <f>VLOOKUP(D484,'PLAN COMPTABLE'!$C:$D,2,0)</f>
        <v>Charge</v>
      </c>
      <c r="F484" s="227"/>
      <c r="G484" s="229"/>
      <c r="H484" s="227" t="s">
        <v>140</v>
      </c>
      <c r="I484" s="230">
        <v>200</v>
      </c>
      <c r="J484" s="231" t="s">
        <v>403</v>
      </c>
    </row>
    <row r="485" spans="1:10" ht="12.5" x14ac:dyDescent="0.35">
      <c r="A485" s="224">
        <v>396</v>
      </c>
      <c r="B485" s="225">
        <v>45377</v>
      </c>
      <c r="C485" s="226" t="str">
        <f>LOOKUP(B485,'HIDDEN DATA'!$A:$B,'HIDDEN DATA'!$C:$C)</f>
        <v>2023-2024</v>
      </c>
      <c r="D485" s="227" t="s">
        <v>499</v>
      </c>
      <c r="E485" s="228" t="str">
        <f>VLOOKUP(D485,'PLAN COMPTABLE'!$C:$D,2,0)</f>
        <v>Charge</v>
      </c>
      <c r="F485" s="227"/>
      <c r="G485" s="229"/>
      <c r="H485" s="227" t="s">
        <v>140</v>
      </c>
      <c r="I485" s="230">
        <v>43.1</v>
      </c>
      <c r="J485" s="231" t="s">
        <v>341</v>
      </c>
    </row>
    <row r="486" spans="1:10" ht="12.5" x14ac:dyDescent="0.35">
      <c r="A486" s="224">
        <v>397</v>
      </c>
      <c r="B486" s="225">
        <v>45374</v>
      </c>
      <c r="C486" s="226" t="str">
        <f>LOOKUP(B486,'HIDDEN DATA'!$A:$B,'HIDDEN DATA'!$C:$C)</f>
        <v>2023-2024</v>
      </c>
      <c r="D486" s="227" t="s">
        <v>499</v>
      </c>
      <c r="E486" s="228" t="str">
        <f>VLOOKUP(D486,'PLAN COMPTABLE'!$C:$D,2,0)</f>
        <v>Charge</v>
      </c>
      <c r="F486" s="227"/>
      <c r="G486" s="229"/>
      <c r="H486" s="227" t="s">
        <v>140</v>
      </c>
      <c r="I486" s="230">
        <v>200</v>
      </c>
      <c r="J486" s="231" t="s">
        <v>404</v>
      </c>
    </row>
    <row r="487" spans="1:10" ht="12.5" x14ac:dyDescent="0.35">
      <c r="A487" s="224">
        <v>398</v>
      </c>
      <c r="B487" s="225">
        <v>45189</v>
      </c>
      <c r="C487" s="226" t="str">
        <f>LOOKUP(B487,'HIDDEN DATA'!$A:$B,'HIDDEN DATA'!$C:$C)</f>
        <v>2023-2024</v>
      </c>
      <c r="D487" s="227" t="s">
        <v>499</v>
      </c>
      <c r="E487" s="228" t="str">
        <f>VLOOKUP(D487,'PLAN COMPTABLE'!$C:$D,2,0)</f>
        <v>Charge</v>
      </c>
      <c r="F487" s="227"/>
      <c r="G487" s="229"/>
      <c r="H487" s="227" t="s">
        <v>140</v>
      </c>
      <c r="I487" s="230">
        <v>19.649999999999999</v>
      </c>
      <c r="J487" s="231" t="s">
        <v>405</v>
      </c>
    </row>
    <row r="488" spans="1:10" ht="12.5" x14ac:dyDescent="0.35">
      <c r="A488" s="224">
        <v>399</v>
      </c>
      <c r="B488" s="225">
        <v>45378</v>
      </c>
      <c r="C488" s="226" t="str">
        <f>LOOKUP(B488,'HIDDEN DATA'!$A:$B,'HIDDEN DATA'!$C:$C)</f>
        <v>2023-2024</v>
      </c>
      <c r="D488" s="227" t="s">
        <v>85</v>
      </c>
      <c r="E488" s="228" t="str">
        <f>VLOOKUP(D488,'PLAN COMPTABLE'!$C:$D,2,0)</f>
        <v>Charge</v>
      </c>
      <c r="F488" s="227"/>
      <c r="G488" s="229"/>
      <c r="H488" s="227" t="s">
        <v>140</v>
      </c>
      <c r="I488" s="230">
        <v>15.07</v>
      </c>
      <c r="J488" s="231" t="s">
        <v>406</v>
      </c>
    </row>
    <row r="489" spans="1:10" ht="12.5" x14ac:dyDescent="0.35">
      <c r="A489" s="224">
        <v>400</v>
      </c>
      <c r="B489" s="225">
        <v>45378</v>
      </c>
      <c r="C489" s="226" t="str">
        <f>LOOKUP(B489,'HIDDEN DATA'!$A:$B,'HIDDEN DATA'!$C:$C)</f>
        <v>2023-2024</v>
      </c>
      <c r="D489" s="227" t="s">
        <v>85</v>
      </c>
      <c r="E489" s="228" t="str">
        <f>VLOOKUP(D489,'PLAN COMPTABLE'!$C:$D,2,0)</f>
        <v>Charge</v>
      </c>
      <c r="F489" s="227"/>
      <c r="G489" s="229"/>
      <c r="H489" s="227" t="s">
        <v>140</v>
      </c>
      <c r="I489" s="230">
        <f>26.48+31.68</f>
        <v>58.16</v>
      </c>
      <c r="J489" s="231" t="s">
        <v>407</v>
      </c>
    </row>
    <row r="490" spans="1:10" ht="12.5" x14ac:dyDescent="0.35">
      <c r="A490" s="224">
        <v>401</v>
      </c>
      <c r="B490" s="225">
        <v>45378</v>
      </c>
      <c r="C490" s="226" t="str">
        <f>LOOKUP(B490,'HIDDEN DATA'!$A:$B,'HIDDEN DATA'!$C:$C)</f>
        <v>2023-2024</v>
      </c>
      <c r="D490" s="227" t="s">
        <v>85</v>
      </c>
      <c r="E490" s="228" t="str">
        <f>VLOOKUP(D490,'PLAN COMPTABLE'!$C:$D,2,0)</f>
        <v>Charge</v>
      </c>
      <c r="F490" s="227"/>
      <c r="G490" s="229"/>
      <c r="H490" s="227" t="s">
        <v>140</v>
      </c>
      <c r="I490" s="230">
        <v>132.05000000000001</v>
      </c>
      <c r="J490" s="231" t="s">
        <v>408</v>
      </c>
    </row>
    <row r="491" spans="1:10" ht="12.5" x14ac:dyDescent="0.35">
      <c r="A491" s="224">
        <v>402</v>
      </c>
      <c r="B491" s="225">
        <v>45370</v>
      </c>
      <c r="C491" s="226" t="str">
        <f>LOOKUP(B491,'HIDDEN DATA'!$A:$B,'HIDDEN DATA'!$C:$C)</f>
        <v>2023-2024</v>
      </c>
      <c r="D491" s="227" t="s">
        <v>183</v>
      </c>
      <c r="E491" s="228" t="str">
        <f>VLOOKUP(D491,'PLAN COMPTABLE'!$C:$D,2,0)</f>
        <v>Charge</v>
      </c>
      <c r="F491" s="227"/>
      <c r="G491" s="229"/>
      <c r="H491" s="227" t="s">
        <v>140</v>
      </c>
      <c r="I491" s="230">
        <v>200</v>
      </c>
      <c r="J491" s="231" t="s">
        <v>409</v>
      </c>
    </row>
    <row r="492" spans="1:10" ht="12.5" x14ac:dyDescent="0.35">
      <c r="A492" s="224">
        <v>403</v>
      </c>
      <c r="B492" s="225">
        <v>45337</v>
      </c>
      <c r="C492" s="226" t="str">
        <f>LOOKUP(B492,'HIDDEN DATA'!$A:$B,'HIDDEN DATA'!$C:$C)</f>
        <v>2023-2024</v>
      </c>
      <c r="D492" s="227" t="s">
        <v>174</v>
      </c>
      <c r="E492" s="228" t="str">
        <f>VLOOKUP(D492,'PLAN COMPTABLE'!$C:$D,2,0)</f>
        <v>Produit</v>
      </c>
      <c r="F492" s="227"/>
      <c r="G492" s="229"/>
      <c r="H492" s="227" t="s">
        <v>140</v>
      </c>
      <c r="I492" s="230">
        <f>2247+1596.31</f>
        <v>3843.31</v>
      </c>
      <c r="J492" s="231"/>
    </row>
    <row r="493" spans="1:10" ht="12.5" x14ac:dyDescent="0.35">
      <c r="A493" s="224">
        <v>404</v>
      </c>
      <c r="B493" s="225">
        <v>45384</v>
      </c>
      <c r="C493" s="226" t="str">
        <f>LOOKUP(B493,'HIDDEN DATA'!$A:$B,'HIDDEN DATA'!$C:$C)</f>
        <v>2023-2024</v>
      </c>
      <c r="D493" s="227" t="s">
        <v>499</v>
      </c>
      <c r="E493" s="228" t="str">
        <f>VLOOKUP(D493,'PLAN COMPTABLE'!$C:$D,2,0)</f>
        <v>Charge</v>
      </c>
      <c r="F493" s="227"/>
      <c r="G493" s="229"/>
      <c r="H493" s="227" t="s">
        <v>140</v>
      </c>
      <c r="I493" s="230">
        <v>1297.78</v>
      </c>
      <c r="J493" s="231" t="s">
        <v>410</v>
      </c>
    </row>
    <row r="494" spans="1:10" ht="12.5" x14ac:dyDescent="0.35">
      <c r="A494" s="224">
        <v>405</v>
      </c>
      <c r="B494" s="225">
        <v>45385</v>
      </c>
      <c r="C494" s="226" t="str">
        <f>LOOKUP(B494,'HIDDEN DATA'!$A:$B,'HIDDEN DATA'!$C:$C)</f>
        <v>2023-2024</v>
      </c>
      <c r="D494" s="227" t="s">
        <v>146</v>
      </c>
      <c r="E494" s="228" t="str">
        <f>VLOOKUP(D494,'PLAN COMPTABLE'!$C:$D,2,0)</f>
        <v>Charge</v>
      </c>
      <c r="F494" s="227"/>
      <c r="G494" s="229"/>
      <c r="H494" s="227" t="s">
        <v>140</v>
      </c>
      <c r="I494" s="230">
        <v>17.75</v>
      </c>
      <c r="J494" s="231" t="s">
        <v>411</v>
      </c>
    </row>
    <row r="495" spans="1:10" ht="12.5" x14ac:dyDescent="0.35">
      <c r="A495" s="224">
        <v>406</v>
      </c>
      <c r="B495" s="225">
        <v>45370</v>
      </c>
      <c r="C495" s="226" t="str">
        <f>LOOKUP(B495,'HIDDEN DATA'!$A:$B,'HIDDEN DATA'!$C:$C)</f>
        <v>2023-2024</v>
      </c>
      <c r="D495" s="227" t="s">
        <v>245</v>
      </c>
      <c r="E495" s="228" t="str">
        <f>VLOOKUP(D495,'PLAN COMPTABLE'!$C:$D,2,0)</f>
        <v>Charge</v>
      </c>
      <c r="F495" s="227"/>
      <c r="G495" s="229"/>
      <c r="H495" s="227" t="s">
        <v>140</v>
      </c>
      <c r="I495" s="230">
        <v>150</v>
      </c>
      <c r="J495" s="231" t="s">
        <v>409</v>
      </c>
    </row>
    <row r="496" spans="1:10" ht="12.5" x14ac:dyDescent="0.35">
      <c r="A496" s="224">
        <v>407</v>
      </c>
      <c r="B496" s="225">
        <v>45316</v>
      </c>
      <c r="C496" s="226" t="str">
        <f>LOOKUP(B496,'HIDDEN DATA'!$A:$B,'HIDDEN DATA'!$C:$C)</f>
        <v>2023-2024</v>
      </c>
      <c r="D496" s="227" t="s">
        <v>499</v>
      </c>
      <c r="E496" s="228" t="str">
        <f>VLOOKUP(D496,'PLAN COMPTABLE'!$C:$D,2,0)</f>
        <v>Charge</v>
      </c>
      <c r="F496" s="227"/>
      <c r="G496" s="229"/>
      <c r="H496" s="227" t="s">
        <v>140</v>
      </c>
      <c r="I496" s="230">
        <v>21.87</v>
      </c>
      <c r="J496" s="231" t="s">
        <v>412</v>
      </c>
    </row>
    <row r="497" spans="1:10" ht="12.5" x14ac:dyDescent="0.35">
      <c r="A497" s="224">
        <v>408</v>
      </c>
      <c r="B497" s="225">
        <v>45245</v>
      </c>
      <c r="C497" s="226" t="str">
        <f>LOOKUP(B497,'HIDDEN DATA'!$A:$B,'HIDDEN DATA'!$C:$C)</f>
        <v>2023-2024</v>
      </c>
      <c r="D497" s="227" t="s">
        <v>499</v>
      </c>
      <c r="E497" s="228" t="str">
        <f>VLOOKUP(D497,'PLAN COMPTABLE'!$C:$D,2,0)</f>
        <v>Charge</v>
      </c>
      <c r="F497" s="227"/>
      <c r="G497" s="229"/>
      <c r="H497" s="227" t="s">
        <v>140</v>
      </c>
      <c r="I497" s="230">
        <v>33.15</v>
      </c>
      <c r="J497" s="231" t="s">
        <v>412</v>
      </c>
    </row>
    <row r="498" spans="1:10" ht="12.5" x14ac:dyDescent="0.35">
      <c r="A498" s="224">
        <v>409</v>
      </c>
      <c r="B498" s="225">
        <v>45375</v>
      </c>
      <c r="C498" s="226" t="str">
        <f>LOOKUP(B498,'HIDDEN DATA'!$A:$B,'HIDDEN DATA'!$C:$C)</f>
        <v>2023-2024</v>
      </c>
      <c r="D498" s="227" t="s">
        <v>499</v>
      </c>
      <c r="E498" s="228" t="str">
        <f>VLOOKUP(D498,'PLAN COMPTABLE'!$C:$D,2,0)</f>
        <v>Charge</v>
      </c>
      <c r="F498" s="227"/>
      <c r="G498" s="229"/>
      <c r="H498" s="227" t="s">
        <v>140</v>
      </c>
      <c r="I498" s="230">
        <v>45.87</v>
      </c>
      <c r="J498" s="231" t="s">
        <v>413</v>
      </c>
    </row>
    <row r="499" spans="1:10" ht="12.5" x14ac:dyDescent="0.35">
      <c r="A499" s="224">
        <v>410</v>
      </c>
      <c r="B499" s="225">
        <v>45378</v>
      </c>
      <c r="C499" s="226" t="str">
        <f>LOOKUP(B499,'HIDDEN DATA'!$A:$B,'HIDDEN DATA'!$C:$C)</f>
        <v>2023-2024</v>
      </c>
      <c r="D499" s="227" t="s">
        <v>183</v>
      </c>
      <c r="E499" s="228" t="str">
        <f>VLOOKUP(D499,'PLAN COMPTABLE'!$C:$D,2,0)</f>
        <v>Charge</v>
      </c>
      <c r="F499" s="227"/>
      <c r="G499" s="229"/>
      <c r="H499" s="227" t="s">
        <v>140</v>
      </c>
      <c r="I499" s="230">
        <v>26.96</v>
      </c>
      <c r="J499" s="231" t="s">
        <v>401</v>
      </c>
    </row>
    <row r="500" spans="1:10" ht="12.5" x14ac:dyDescent="0.35">
      <c r="A500" s="224">
        <v>411</v>
      </c>
      <c r="B500" s="225">
        <v>45375</v>
      </c>
      <c r="C500" s="226" t="str">
        <f>LOOKUP(B500,'HIDDEN DATA'!$A:$B,'HIDDEN DATA'!$C:$C)</f>
        <v>2023-2024</v>
      </c>
      <c r="D500" s="227" t="s">
        <v>183</v>
      </c>
      <c r="E500" s="228" t="str">
        <f>VLOOKUP(D500,'PLAN COMPTABLE'!$C:$D,2,0)</f>
        <v>Charge</v>
      </c>
      <c r="F500" s="227"/>
      <c r="G500" s="229"/>
      <c r="H500" s="227" t="s">
        <v>140</v>
      </c>
      <c r="I500" s="230">
        <v>23.99</v>
      </c>
      <c r="J500" s="231" t="s">
        <v>401</v>
      </c>
    </row>
    <row r="501" spans="1:10" ht="12.5" x14ac:dyDescent="0.35">
      <c r="A501" s="224">
        <v>412</v>
      </c>
      <c r="B501" s="225">
        <v>45379</v>
      </c>
      <c r="C501" s="226" t="str">
        <f>LOOKUP(B501,'HIDDEN DATA'!$A:$B,'HIDDEN DATA'!$C:$C)</f>
        <v>2023-2024</v>
      </c>
      <c r="D501" s="227" t="s">
        <v>183</v>
      </c>
      <c r="E501" s="228" t="str">
        <f>VLOOKUP(D501,'PLAN COMPTABLE'!$C:$D,2,0)</f>
        <v>Charge</v>
      </c>
      <c r="F501" s="227"/>
      <c r="G501" s="229"/>
      <c r="H501" s="227" t="s">
        <v>140</v>
      </c>
      <c r="I501" s="230">
        <f>17.25+41.25+7.29+43.1</f>
        <v>108.89000000000001</v>
      </c>
      <c r="J501" s="231" t="s">
        <v>401</v>
      </c>
    </row>
    <row r="502" spans="1:10" ht="12.5" x14ac:dyDescent="0.35">
      <c r="A502" s="224">
        <v>413</v>
      </c>
      <c r="B502" s="225">
        <v>45407</v>
      </c>
      <c r="C502" s="226" t="str">
        <f>LOOKUP(B502,'HIDDEN DATA'!$A:$B,'HIDDEN DATA'!$C:$C)</f>
        <v>2023-2024</v>
      </c>
      <c r="D502" s="227" t="s">
        <v>191</v>
      </c>
      <c r="E502" s="228" t="str">
        <f>VLOOKUP(D502,'PLAN COMPTABLE'!$C:$D,2,0)</f>
        <v>Charge</v>
      </c>
      <c r="F502" s="227"/>
      <c r="G502" s="229"/>
      <c r="H502" s="227" t="s">
        <v>140</v>
      </c>
      <c r="I502" s="230">
        <v>215</v>
      </c>
      <c r="J502" s="231" t="s">
        <v>414</v>
      </c>
    </row>
    <row r="503" spans="1:10" ht="12.5" x14ac:dyDescent="0.35">
      <c r="A503" s="224">
        <v>414</v>
      </c>
      <c r="B503" s="225">
        <v>45420</v>
      </c>
      <c r="C503" s="226" t="str">
        <f>LOOKUP(B503,'HIDDEN DATA'!$A:$B,'HIDDEN DATA'!$C:$C)</f>
        <v>2023-2024</v>
      </c>
      <c r="D503" s="227" t="s">
        <v>499</v>
      </c>
      <c r="E503" s="228" t="str">
        <f>VLOOKUP(D503,'PLAN COMPTABLE'!$C:$D,2,0)</f>
        <v>Charge</v>
      </c>
      <c r="F503" s="227"/>
      <c r="G503" s="229"/>
      <c r="H503" s="227" t="s">
        <v>140</v>
      </c>
      <c r="I503" s="230">
        <v>200</v>
      </c>
      <c r="J503" s="231" t="s">
        <v>415</v>
      </c>
    </row>
    <row r="504" spans="1:10" ht="12.5" x14ac:dyDescent="0.35">
      <c r="A504" s="224">
        <v>415</v>
      </c>
      <c r="B504" s="225">
        <v>45446</v>
      </c>
      <c r="C504" s="226" t="str">
        <f>LOOKUP(B504,'HIDDEN DATA'!$A:$B,'HIDDEN DATA'!$C:$C)</f>
        <v>2023-2024</v>
      </c>
      <c r="D504" s="227" t="s">
        <v>209</v>
      </c>
      <c r="E504" s="228" t="str">
        <f>VLOOKUP(D504,'PLAN COMPTABLE'!$C:$D,2,0)</f>
        <v>Charge</v>
      </c>
      <c r="F504" s="227"/>
      <c r="G504" s="229"/>
      <c r="H504" s="227" t="s">
        <v>140</v>
      </c>
      <c r="I504" s="230">
        <v>250</v>
      </c>
      <c r="J504" s="231" t="s">
        <v>416</v>
      </c>
    </row>
    <row r="505" spans="1:10" ht="12.5" x14ac:dyDescent="0.35">
      <c r="A505" s="224">
        <v>416</v>
      </c>
      <c r="B505" s="225">
        <v>45509</v>
      </c>
      <c r="C505" s="226" t="str">
        <f>LOOKUP(B505,'HIDDEN DATA'!$A:$B,'HIDDEN DATA'!$C:$C)</f>
        <v>2023-2024</v>
      </c>
      <c r="D505" s="227" t="s">
        <v>185</v>
      </c>
      <c r="E505" s="228" t="str">
        <f>VLOOKUP(D505,'PLAN COMPTABLE'!$C:$D,2,0)</f>
        <v>Charge</v>
      </c>
      <c r="F505" s="227"/>
      <c r="G505" s="229"/>
      <c r="H505" s="227" t="s">
        <v>140</v>
      </c>
      <c r="I505" s="230">
        <v>150</v>
      </c>
      <c r="J505" s="231" t="s">
        <v>417</v>
      </c>
    </row>
    <row r="506" spans="1:10" ht="12.5" x14ac:dyDescent="0.35">
      <c r="A506" s="224">
        <v>417</v>
      </c>
      <c r="B506" s="225">
        <v>45509</v>
      </c>
      <c r="C506" s="226" t="str">
        <f>LOOKUP(B506,'HIDDEN DATA'!$A:$B,'HIDDEN DATA'!$C:$C)</f>
        <v>2023-2024</v>
      </c>
      <c r="D506" s="227" t="s">
        <v>185</v>
      </c>
      <c r="E506" s="228" t="str">
        <f>VLOOKUP(D506,'PLAN COMPTABLE'!$C:$D,2,0)</f>
        <v>Charge</v>
      </c>
      <c r="F506" s="227"/>
      <c r="G506" s="229"/>
      <c r="H506" s="227" t="s">
        <v>140</v>
      </c>
      <c r="I506" s="230">
        <v>150</v>
      </c>
      <c r="J506" s="231" t="s">
        <v>418</v>
      </c>
    </row>
    <row r="507" spans="1:10" ht="12.5" x14ac:dyDescent="0.35">
      <c r="A507" s="224">
        <v>418</v>
      </c>
      <c r="B507" s="225">
        <v>45522</v>
      </c>
      <c r="C507" s="226" t="str">
        <f>LOOKUP(B507,'HIDDEN DATA'!$A:$B,'HIDDEN DATA'!$C:$C)</f>
        <v>2023-2024</v>
      </c>
      <c r="D507" s="227" t="s">
        <v>215</v>
      </c>
      <c r="E507" s="228" t="str">
        <f>VLOOKUP(D507,'PLAN COMPTABLE'!$C:$D,2,0)</f>
        <v>Charge</v>
      </c>
      <c r="F507" s="227"/>
      <c r="G507" s="229"/>
      <c r="H507" s="227" t="s">
        <v>140</v>
      </c>
      <c r="I507" s="230">
        <v>60</v>
      </c>
      <c r="J507" s="231" t="s">
        <v>419</v>
      </c>
    </row>
    <row r="508" spans="1:10" ht="12.5" x14ac:dyDescent="0.35">
      <c r="A508" s="224">
        <v>419</v>
      </c>
      <c r="B508" s="225">
        <v>45437</v>
      </c>
      <c r="C508" s="226" t="str">
        <f>LOOKUP(B508,'HIDDEN DATA'!$A:$B,'HIDDEN DATA'!$C:$C)</f>
        <v>2023-2024</v>
      </c>
      <c r="D508" s="227" t="s">
        <v>169</v>
      </c>
      <c r="E508" s="228" t="str">
        <f>VLOOKUP(D508,'PLAN COMPTABLE'!$C:$D,2,0)</f>
        <v>Produit</v>
      </c>
      <c r="F508" s="227"/>
      <c r="G508" s="229"/>
      <c r="H508" s="227" t="s">
        <v>140</v>
      </c>
      <c r="I508" s="230">
        <v>1281</v>
      </c>
      <c r="J508" s="231"/>
    </row>
    <row r="509" spans="1:10" ht="12.5" x14ac:dyDescent="0.35">
      <c r="A509" s="224">
        <v>420</v>
      </c>
      <c r="B509" s="225">
        <v>45525</v>
      </c>
      <c r="C509" s="226" t="str">
        <f>LOOKUP(B509,'HIDDEN DATA'!$A:$B,'HIDDEN DATA'!$C:$C)</f>
        <v>2023-2024</v>
      </c>
      <c r="D509" s="227" t="s">
        <v>215</v>
      </c>
      <c r="E509" s="228" t="str">
        <f>VLOOKUP(D509,'PLAN COMPTABLE'!$C:$D,2,0)</f>
        <v>Charge</v>
      </c>
      <c r="F509" s="227"/>
      <c r="G509" s="229"/>
      <c r="H509" s="227" t="s">
        <v>140</v>
      </c>
      <c r="I509" s="230">
        <v>60</v>
      </c>
      <c r="J509" s="231" t="s">
        <v>420</v>
      </c>
    </row>
    <row r="510" spans="1:10" ht="12.5" x14ac:dyDescent="0.35">
      <c r="A510" s="224">
        <v>421</v>
      </c>
      <c r="B510" s="225">
        <v>45531</v>
      </c>
      <c r="C510" s="226" t="str">
        <f>LOOKUP(B510,'HIDDEN DATA'!$A:$B,'HIDDEN DATA'!$C:$C)</f>
        <v>2023-2024</v>
      </c>
      <c r="D510" s="227" t="s">
        <v>257</v>
      </c>
      <c r="E510" s="228" t="str">
        <f>VLOOKUP(D510,'PLAN COMPTABLE'!$C:$D,2,0)</f>
        <v>Produit</v>
      </c>
      <c r="F510" s="227"/>
      <c r="G510" s="229"/>
      <c r="H510" s="227" t="s">
        <v>140</v>
      </c>
      <c r="I510" s="230">
        <v>242</v>
      </c>
      <c r="J510" s="231" t="s">
        <v>421</v>
      </c>
    </row>
    <row r="511" spans="1:10" ht="12.5" x14ac:dyDescent="0.35">
      <c r="A511" s="224">
        <v>422</v>
      </c>
      <c r="B511" s="225">
        <v>45536</v>
      </c>
      <c r="C511" s="226" t="str">
        <f>LOOKUP(B511,'HIDDEN DATA'!$A:$B,'HIDDEN DATA'!$C:$C)</f>
        <v>2024-2025</v>
      </c>
      <c r="D511" s="227" t="s">
        <v>204</v>
      </c>
      <c r="E511" s="228" t="str">
        <f>VLOOKUP(D511,'PLAN COMPTABLE'!$C:$D,2,0)</f>
        <v>Charge</v>
      </c>
      <c r="F511" s="227"/>
      <c r="G511" s="229"/>
      <c r="H511" s="227" t="s">
        <v>140</v>
      </c>
      <c r="I511" s="230">
        <f>79.8+123.9+36.28</f>
        <v>239.98</v>
      </c>
      <c r="J511" s="171" t="s">
        <v>422</v>
      </c>
    </row>
    <row r="512" spans="1:10" ht="12.5" x14ac:dyDescent="0.35">
      <c r="A512" s="224">
        <v>423</v>
      </c>
      <c r="B512" s="225">
        <v>45547</v>
      </c>
      <c r="C512" s="226" t="str">
        <f>LOOKUP(B512,'HIDDEN DATA'!$A:$B,'HIDDEN DATA'!$C:$C)</f>
        <v>2024-2025</v>
      </c>
      <c r="D512" s="227" t="s">
        <v>319</v>
      </c>
      <c r="E512" s="228" t="str">
        <f>VLOOKUP(D512,'PLAN COMPTABLE'!$C:$D,2,0)</f>
        <v>Charge</v>
      </c>
      <c r="F512" s="227"/>
      <c r="G512" s="229"/>
      <c r="H512" s="227" t="s">
        <v>140</v>
      </c>
      <c r="I512" s="230">
        <f>230+184+46</f>
        <v>460</v>
      </c>
      <c r="J512" s="231" t="s">
        <v>423</v>
      </c>
    </row>
    <row r="513" spans="1:10" ht="12.5" x14ac:dyDescent="0.35">
      <c r="A513" s="224">
        <v>424</v>
      </c>
      <c r="B513" s="225">
        <v>45553</v>
      </c>
      <c r="C513" s="226" t="str">
        <f>LOOKUP(B513,'HIDDEN DATA'!$A:$B,'HIDDEN DATA'!$C:$C)</f>
        <v>2024-2025</v>
      </c>
      <c r="D513" s="227" t="s">
        <v>499</v>
      </c>
      <c r="E513" s="228" t="str">
        <f>VLOOKUP(D513,'PLAN COMPTABLE'!$C:$D,2,0)</f>
        <v>Charge</v>
      </c>
      <c r="F513" s="227"/>
      <c r="G513" s="229"/>
      <c r="H513" s="227" t="s">
        <v>140</v>
      </c>
      <c r="I513" s="230">
        <v>27.8</v>
      </c>
      <c r="J513" s="231" t="s">
        <v>424</v>
      </c>
    </row>
    <row r="514" spans="1:10" ht="12.5" x14ac:dyDescent="0.35">
      <c r="A514" s="224">
        <v>425</v>
      </c>
      <c r="B514" s="225">
        <v>45561</v>
      </c>
      <c r="C514" s="226" t="str">
        <f>LOOKUP(B514,'HIDDEN DATA'!$A:$B,'HIDDEN DATA'!$C:$C)</f>
        <v>2024-2025</v>
      </c>
      <c r="D514" s="227" t="s">
        <v>143</v>
      </c>
      <c r="E514" s="228" t="str">
        <f>VLOOKUP(D514,'PLAN COMPTABLE'!$C:$D,2,0)</f>
        <v>Charge</v>
      </c>
      <c r="F514" s="227"/>
      <c r="G514" s="229"/>
      <c r="H514" s="227" t="s">
        <v>140</v>
      </c>
      <c r="I514" s="230">
        <f>40+24.62</f>
        <v>64.62</v>
      </c>
      <c r="J514" s="231" t="s">
        <v>425</v>
      </c>
    </row>
    <row r="515" spans="1:10" ht="12.5" x14ac:dyDescent="0.35">
      <c r="A515" s="224">
        <v>426</v>
      </c>
      <c r="B515" s="225">
        <v>45569</v>
      </c>
      <c r="C515" s="226" t="str">
        <f>LOOKUP(B515,'HIDDEN DATA'!$A:$B,'HIDDEN DATA'!$C:$C)</f>
        <v>2024-2025</v>
      </c>
      <c r="D515" s="227" t="s">
        <v>165</v>
      </c>
      <c r="E515" s="228" t="str">
        <f>VLOOKUP(D515,'PLAN COMPTABLE'!$C:$D,2,0)</f>
        <v>Produit</v>
      </c>
      <c r="F515" s="227"/>
      <c r="G515" s="229"/>
      <c r="H515" s="227" t="s">
        <v>140</v>
      </c>
      <c r="I515" s="230">
        <v>650</v>
      </c>
      <c r="J515" s="231" t="s">
        <v>426</v>
      </c>
    </row>
    <row r="516" spans="1:10" ht="12.5" x14ac:dyDescent="0.35">
      <c r="A516" s="224">
        <v>427</v>
      </c>
      <c r="B516" s="225">
        <v>45569</v>
      </c>
      <c r="C516" s="226" t="str">
        <f>LOOKUP(B516,'HIDDEN DATA'!$A:$B,'HIDDEN DATA'!$C:$C)</f>
        <v>2024-2025</v>
      </c>
      <c r="D516" s="227" t="s">
        <v>165</v>
      </c>
      <c r="E516" s="228" t="str">
        <f>VLOOKUP(D516,'PLAN COMPTABLE'!$C:$D,2,0)</f>
        <v>Produit</v>
      </c>
      <c r="F516" s="227"/>
      <c r="G516" s="229"/>
      <c r="H516" s="227" t="s">
        <v>140</v>
      </c>
      <c r="I516" s="230">
        <v>650</v>
      </c>
      <c r="J516" s="231" t="s">
        <v>427</v>
      </c>
    </row>
    <row r="517" spans="1:10" ht="12.5" x14ac:dyDescent="0.35">
      <c r="A517" s="224">
        <v>428</v>
      </c>
      <c r="B517" s="225">
        <v>45573</v>
      </c>
      <c r="C517" s="226" t="str">
        <f>LOOKUP(B517,'HIDDEN DATA'!$A:$B,'HIDDEN DATA'!$C:$C)</f>
        <v>2024-2025</v>
      </c>
      <c r="D517" s="227" t="s">
        <v>177</v>
      </c>
      <c r="E517" s="228" t="str">
        <f>VLOOKUP(D517,'PLAN COMPTABLE'!$C:$D,2,0)</f>
        <v>Charge</v>
      </c>
      <c r="F517" s="227"/>
      <c r="G517" s="229"/>
      <c r="H517" s="227" t="s">
        <v>140</v>
      </c>
      <c r="I517" s="230">
        <v>28.72</v>
      </c>
      <c r="J517" s="231" t="s">
        <v>428</v>
      </c>
    </row>
    <row r="518" spans="1:10" ht="12.5" x14ac:dyDescent="0.35">
      <c r="A518" s="224">
        <v>429</v>
      </c>
      <c r="B518" s="225">
        <v>45573</v>
      </c>
      <c r="C518" s="226" t="str">
        <f>LOOKUP(B518,'HIDDEN DATA'!$A:$B,'HIDDEN DATA'!$C:$C)</f>
        <v>2024-2025</v>
      </c>
      <c r="D518" s="227" t="s">
        <v>177</v>
      </c>
      <c r="E518" s="228" t="str">
        <f>VLOOKUP(D518,'PLAN COMPTABLE'!$C:$D,2,0)</f>
        <v>Charge</v>
      </c>
      <c r="F518" s="227"/>
      <c r="G518" s="229"/>
      <c r="H518" s="227" t="s">
        <v>140</v>
      </c>
      <c r="I518" s="230">
        <v>218.44</v>
      </c>
      <c r="J518" s="231" t="s">
        <v>429</v>
      </c>
    </row>
    <row r="519" spans="1:10" ht="12.5" x14ac:dyDescent="0.35">
      <c r="A519" s="224">
        <v>430</v>
      </c>
      <c r="B519" s="225">
        <v>45587</v>
      </c>
      <c r="C519" s="226" t="str">
        <f>LOOKUP(B519,'HIDDEN DATA'!$A:$B,'HIDDEN DATA'!$C:$C)</f>
        <v>2024-2025</v>
      </c>
      <c r="D519" s="227" t="s">
        <v>167</v>
      </c>
      <c r="E519" s="228" t="str">
        <f>VLOOKUP(D519,'PLAN COMPTABLE'!$C:$D,2,0)</f>
        <v>Produit</v>
      </c>
      <c r="F519" s="227"/>
      <c r="G519" s="229"/>
      <c r="H519" s="227" t="s">
        <v>140</v>
      </c>
      <c r="I519" s="230">
        <v>2986.5</v>
      </c>
      <c r="J519" s="231"/>
    </row>
    <row r="520" spans="1:10" ht="12.5" x14ac:dyDescent="0.35">
      <c r="A520" s="224">
        <v>431</v>
      </c>
      <c r="B520" s="225">
        <v>45596</v>
      </c>
      <c r="C520" s="226" t="str">
        <f>LOOKUP(B520,'HIDDEN DATA'!$A:$B,'HIDDEN DATA'!$C:$C)</f>
        <v>2024-2025</v>
      </c>
      <c r="D520" s="227" t="s">
        <v>499</v>
      </c>
      <c r="E520" s="228" t="str">
        <f>VLOOKUP(D520,'PLAN COMPTABLE'!$C:$D,2,0)</f>
        <v>Charge</v>
      </c>
      <c r="F520" s="227"/>
      <c r="G520" s="229"/>
      <c r="H520" s="227" t="s">
        <v>140</v>
      </c>
      <c r="I520" s="230">
        <v>35.36</v>
      </c>
      <c r="J520" s="231" t="s">
        <v>430</v>
      </c>
    </row>
    <row r="521" spans="1:10" ht="12.5" x14ac:dyDescent="0.35">
      <c r="A521" s="224">
        <v>432</v>
      </c>
      <c r="B521" s="225">
        <v>45624</v>
      </c>
      <c r="C521" s="226" t="str">
        <f>LOOKUP(B521,'HIDDEN DATA'!$A:$B,'HIDDEN DATA'!$C:$C)</f>
        <v>2024-2025</v>
      </c>
      <c r="D521" s="227" t="s">
        <v>175</v>
      </c>
      <c r="E521" s="228" t="str">
        <f>VLOOKUP(D521,'PLAN COMPTABLE'!$C:$D,2,0)</f>
        <v>Charge</v>
      </c>
      <c r="F521" s="227"/>
      <c r="G521" s="229"/>
      <c r="H521" s="227" t="s">
        <v>140</v>
      </c>
      <c r="I521" s="230">
        <v>1500</v>
      </c>
      <c r="J521" s="231" t="s">
        <v>431</v>
      </c>
    </row>
    <row r="522" spans="1:10" ht="12.5" x14ac:dyDescent="0.35">
      <c r="A522" s="224">
        <v>433</v>
      </c>
      <c r="B522" s="225">
        <v>45624</v>
      </c>
      <c r="C522" s="226" t="str">
        <f>LOOKUP(B522,'HIDDEN DATA'!$A:$B,'HIDDEN DATA'!$C:$C)</f>
        <v>2024-2025</v>
      </c>
      <c r="D522" s="227" t="s">
        <v>157</v>
      </c>
      <c r="E522" s="228" t="str">
        <f>VLOOKUP(D522,'PLAN COMPTABLE'!$C:$D,2,0)</f>
        <v>Charge</v>
      </c>
      <c r="F522" s="227"/>
      <c r="G522" s="229"/>
      <c r="H522" s="227" t="s">
        <v>140</v>
      </c>
      <c r="I522" s="230">
        <v>1650</v>
      </c>
      <c r="J522" s="231" t="s">
        <v>431</v>
      </c>
    </row>
    <row r="523" spans="1:10" ht="12.5" x14ac:dyDescent="0.35">
      <c r="A523" s="224">
        <v>434</v>
      </c>
      <c r="B523" s="225">
        <v>45582</v>
      </c>
      <c r="C523" s="226" t="str">
        <f>LOOKUP(B523,'HIDDEN DATA'!$A:$B,'HIDDEN DATA'!$C:$C)</f>
        <v>2024-2025</v>
      </c>
      <c r="D523" s="227" t="s">
        <v>156</v>
      </c>
      <c r="E523" s="228" t="str">
        <f>VLOOKUP(D523,'PLAN COMPTABLE'!$C:$D,2,0)</f>
        <v>Charge</v>
      </c>
      <c r="F523" s="227"/>
      <c r="G523" s="229"/>
      <c r="H523" s="227" t="s">
        <v>140</v>
      </c>
      <c r="I523" s="230">
        <v>119</v>
      </c>
      <c r="J523" s="231" t="s">
        <v>432</v>
      </c>
    </row>
    <row r="524" spans="1:10" ht="12.5" x14ac:dyDescent="0.35">
      <c r="A524" s="224">
        <v>435</v>
      </c>
      <c r="B524" s="225">
        <v>45597</v>
      </c>
      <c r="C524" s="226" t="str">
        <f>LOOKUP(B524,'HIDDEN DATA'!$A:$B,'HIDDEN DATA'!$C:$C)</f>
        <v>2024-2025</v>
      </c>
      <c r="D524" s="227" t="s">
        <v>153</v>
      </c>
      <c r="E524" s="228" t="str">
        <f>VLOOKUP(D524,'PLAN COMPTABLE'!$C:$D,2,0)</f>
        <v>Charge</v>
      </c>
      <c r="F524" s="227"/>
      <c r="G524" s="229"/>
      <c r="H524" s="227" t="s">
        <v>140</v>
      </c>
      <c r="I524" s="230">
        <f>28.49+56.98+35.7</f>
        <v>121.17</v>
      </c>
      <c r="J524" s="231" t="s">
        <v>433</v>
      </c>
    </row>
    <row r="525" spans="1:10" ht="12.5" x14ac:dyDescent="0.35">
      <c r="A525" s="224">
        <v>436</v>
      </c>
      <c r="B525" s="225">
        <v>45624</v>
      </c>
      <c r="C525" s="226" t="str">
        <f>LOOKUP(B525,'HIDDEN DATA'!$A:$B,'HIDDEN DATA'!$C:$C)</f>
        <v>2024-2025</v>
      </c>
      <c r="D525" s="227" t="s">
        <v>252</v>
      </c>
      <c r="E525" s="228" t="str">
        <f>VLOOKUP(D525,'PLAN COMPTABLE'!$C:$D,2,0)</f>
        <v>Charge</v>
      </c>
      <c r="F525" s="227"/>
      <c r="G525" s="229"/>
      <c r="H525" s="227" t="s">
        <v>140</v>
      </c>
      <c r="I525" s="230">
        <v>400</v>
      </c>
      <c r="J525" s="231" t="s">
        <v>431</v>
      </c>
    </row>
    <row r="526" spans="1:10" ht="12.5" x14ac:dyDescent="0.35">
      <c r="A526" s="224">
        <v>437</v>
      </c>
      <c r="B526" s="225">
        <v>45631</v>
      </c>
      <c r="C526" s="226" t="str">
        <f>LOOKUP(B526,'HIDDEN DATA'!$A:$B,'HIDDEN DATA'!$C:$C)</f>
        <v>2024-2025</v>
      </c>
      <c r="D526" s="227" t="s">
        <v>434</v>
      </c>
      <c r="E526" s="228" t="str">
        <f>VLOOKUP(D526,'PLAN COMPTABLE'!$C:$D,2,0)</f>
        <v>Charge</v>
      </c>
      <c r="F526" s="227"/>
      <c r="G526" s="229"/>
      <c r="H526" s="227" t="s">
        <v>140</v>
      </c>
      <c r="I526" s="230">
        <v>400</v>
      </c>
      <c r="J526" s="231" t="s">
        <v>431</v>
      </c>
    </row>
    <row r="527" spans="1:10" ht="12.5" x14ac:dyDescent="0.35">
      <c r="A527" s="224">
        <v>438</v>
      </c>
      <c r="B527" s="225">
        <v>45646</v>
      </c>
      <c r="C527" s="226" t="str">
        <f>LOOKUP(B527,'HIDDEN DATA'!$A:$B,'HIDDEN DATA'!$C:$C)</f>
        <v>2024-2025</v>
      </c>
      <c r="D527" s="227" t="s">
        <v>159</v>
      </c>
      <c r="E527" s="228" t="str">
        <f>VLOOKUP(D527,'PLAN COMPTABLE'!$C:$D,2,0)</f>
        <v>Charge</v>
      </c>
      <c r="F527" s="227"/>
      <c r="G527" s="229"/>
      <c r="H527" s="227" t="s">
        <v>140</v>
      </c>
      <c r="I527" s="230">
        <v>130</v>
      </c>
      <c r="J527" s="231" t="s">
        <v>435</v>
      </c>
    </row>
    <row r="528" spans="1:10" ht="12.5" x14ac:dyDescent="0.35">
      <c r="A528" s="224">
        <v>439</v>
      </c>
      <c r="B528" s="225">
        <v>45680</v>
      </c>
      <c r="C528" s="226" t="str">
        <f>LOOKUP(B528,'HIDDEN DATA'!$A:$B,'HIDDEN DATA'!$C:$C)</f>
        <v>2024-2025</v>
      </c>
      <c r="D528" s="227" t="s">
        <v>292</v>
      </c>
      <c r="E528" s="228" t="str">
        <f>VLOOKUP(D528,'PLAN COMPTABLE'!$C:$D,2,0)</f>
        <v>Produit</v>
      </c>
      <c r="F528" s="227"/>
      <c r="G528" s="229"/>
      <c r="H528" s="227" t="s">
        <v>140</v>
      </c>
      <c r="I528" s="230">
        <v>500</v>
      </c>
      <c r="J528" s="231" t="s">
        <v>436</v>
      </c>
    </row>
    <row r="529" spans="1:10" ht="12.5" x14ac:dyDescent="0.35">
      <c r="A529" s="224">
        <v>440</v>
      </c>
      <c r="B529" s="225">
        <v>45677</v>
      </c>
      <c r="C529" s="226" t="str">
        <f>LOOKUP(B529,'HIDDEN DATA'!$A:$B,'HIDDEN DATA'!$C:$C)</f>
        <v>2024-2025</v>
      </c>
      <c r="D529" s="227" t="s">
        <v>124</v>
      </c>
      <c r="E529" s="228" t="str">
        <f>VLOOKUP(D529,'PLAN COMPTABLE'!$C:$D,2,0)</f>
        <v>Charge</v>
      </c>
      <c r="F529" s="227"/>
      <c r="G529" s="229"/>
      <c r="H529" s="227" t="s">
        <v>140</v>
      </c>
      <c r="I529" s="230">
        <v>400</v>
      </c>
      <c r="J529" s="231" t="s">
        <v>431</v>
      </c>
    </row>
    <row r="530" spans="1:10" ht="12.5" x14ac:dyDescent="0.35">
      <c r="A530" s="224">
        <v>442</v>
      </c>
      <c r="B530" s="225">
        <v>45679</v>
      </c>
      <c r="C530" s="226" t="str">
        <f>LOOKUP(B530,'HIDDEN DATA'!$A:$B,'HIDDEN DATA'!$C:$C)</f>
        <v>2024-2025</v>
      </c>
      <c r="D530" s="227" t="s">
        <v>146</v>
      </c>
      <c r="E530" s="228" t="str">
        <f>VLOOKUP(D530,'PLAN COMPTABLE'!$C:$D,2,0)</f>
        <v>Charge</v>
      </c>
      <c r="F530" s="227"/>
      <c r="G530" s="229"/>
      <c r="H530" s="227" t="s">
        <v>140</v>
      </c>
      <c r="I530" s="230">
        <v>39.96</v>
      </c>
      <c r="J530" s="231" t="s">
        <v>372</v>
      </c>
    </row>
    <row r="531" spans="1:10" ht="12.5" x14ac:dyDescent="0.35">
      <c r="A531" s="224">
        <v>443</v>
      </c>
      <c r="B531" s="225">
        <v>45706</v>
      </c>
      <c r="C531" s="226" t="str">
        <f>LOOKUP(B531,'HIDDEN DATA'!$A:$B,'HIDDEN DATA'!$C:$C)</f>
        <v>2024-2025</v>
      </c>
      <c r="D531" s="227" t="s">
        <v>170</v>
      </c>
      <c r="E531" s="228" t="str">
        <f>VLOOKUP(D531,'PLAN COMPTABLE'!$C:$D,2,0)</f>
        <v>Produit</v>
      </c>
      <c r="F531" s="227"/>
      <c r="G531" s="229"/>
      <c r="H531" s="227" t="s">
        <v>140</v>
      </c>
      <c r="I531" s="230">
        <v>1267.5</v>
      </c>
      <c r="J531" s="231"/>
    </row>
    <row r="532" spans="1:10" ht="12.5" x14ac:dyDescent="0.35">
      <c r="A532" s="224">
        <v>444</v>
      </c>
      <c r="B532" s="225">
        <v>45706</v>
      </c>
      <c r="C532" s="226" t="str">
        <f>LOOKUP(B532,'HIDDEN DATA'!$A:$B,'HIDDEN DATA'!$C:$C)</f>
        <v>2024-2025</v>
      </c>
      <c r="D532" s="227" t="s">
        <v>174</v>
      </c>
      <c r="E532" s="228" t="str">
        <f>VLOOKUP(D532,'PLAN COMPTABLE'!$C:$D,2,0)</f>
        <v>Produit</v>
      </c>
      <c r="F532" s="227"/>
      <c r="G532" s="229"/>
      <c r="H532" s="227" t="s">
        <v>140</v>
      </c>
      <c r="I532" s="230">
        <v>2068.5</v>
      </c>
      <c r="J532" s="231"/>
    </row>
    <row r="533" spans="1:10" ht="12.5" x14ac:dyDescent="0.35">
      <c r="A533" s="224">
        <v>445</v>
      </c>
      <c r="B533" s="225">
        <v>45713</v>
      </c>
      <c r="C533" s="226" t="str">
        <f>LOOKUP(B533,'HIDDEN DATA'!$A:$B,'HIDDEN DATA'!$C:$C)</f>
        <v>2024-2025</v>
      </c>
      <c r="D533" s="227" t="s">
        <v>257</v>
      </c>
      <c r="E533" s="228" t="str">
        <f>VLOOKUP(D533,'PLAN COMPTABLE'!$C:$D,2,0)</f>
        <v>Produit</v>
      </c>
      <c r="F533" s="227"/>
      <c r="G533" s="229"/>
      <c r="H533" s="227" t="s">
        <v>140</v>
      </c>
      <c r="I533" s="230">
        <v>308</v>
      </c>
      <c r="J533" s="231" t="s">
        <v>437</v>
      </c>
    </row>
    <row r="534" spans="1:10" ht="12.5" x14ac:dyDescent="0.35">
      <c r="A534" s="224">
        <v>446</v>
      </c>
      <c r="B534" s="225">
        <v>45716</v>
      </c>
      <c r="C534" s="226" t="str">
        <f>LOOKUP(B534,'HIDDEN DATA'!$A:$B,'HIDDEN DATA'!$C:$C)</f>
        <v>2024-2025</v>
      </c>
      <c r="D534" s="227" t="s">
        <v>183</v>
      </c>
      <c r="E534" s="228" t="str">
        <f>VLOOKUP(D534,'PLAN COMPTABLE'!$C:$D,2,0)</f>
        <v>Charge</v>
      </c>
      <c r="F534" s="227"/>
      <c r="G534" s="229"/>
      <c r="H534" s="227" t="s">
        <v>140</v>
      </c>
      <c r="I534" s="230">
        <f>28.74+32.25</f>
        <v>60.989999999999995</v>
      </c>
      <c r="J534" s="231" t="s">
        <v>438</v>
      </c>
    </row>
    <row r="535" spans="1:10" ht="12.5" x14ac:dyDescent="0.35">
      <c r="A535" s="224">
        <v>447</v>
      </c>
      <c r="B535" s="225">
        <v>45722</v>
      </c>
      <c r="C535" s="226" t="str">
        <f>LOOKUP(B535,'HIDDEN DATA'!$A:$B,'HIDDEN DATA'!$C:$C)</f>
        <v>2024-2025</v>
      </c>
      <c r="D535" s="227" t="s">
        <v>499</v>
      </c>
      <c r="E535" s="228" t="str">
        <f>VLOOKUP(D535,'PLAN COMPTABLE'!$C:$D,2,0)</f>
        <v>Charge</v>
      </c>
      <c r="F535" s="227"/>
      <c r="G535" s="229"/>
      <c r="H535" s="227" t="s">
        <v>140</v>
      </c>
      <c r="I535" s="230">
        <v>32.25</v>
      </c>
      <c r="J535" s="231" t="s">
        <v>439</v>
      </c>
    </row>
    <row r="536" spans="1:10" ht="12.5" x14ac:dyDescent="0.35">
      <c r="A536" s="224">
        <v>448</v>
      </c>
      <c r="B536" s="225">
        <v>45680</v>
      </c>
      <c r="C536" s="226" t="str">
        <f>LOOKUP(B536,'HIDDEN DATA'!$A:$B,'HIDDEN DATA'!$C:$C)</f>
        <v>2024-2025</v>
      </c>
      <c r="D536" s="227" t="s">
        <v>292</v>
      </c>
      <c r="E536" s="228" t="str">
        <f>VLOOKUP(D536,'PLAN COMPTABLE'!$C:$D,2,0)</f>
        <v>Produit</v>
      </c>
      <c r="F536" s="227"/>
      <c r="G536" s="229"/>
      <c r="H536" s="227" t="s">
        <v>140</v>
      </c>
      <c r="I536" s="230">
        <v>500</v>
      </c>
      <c r="J536" s="231" t="s">
        <v>440</v>
      </c>
    </row>
    <row r="537" spans="1:10" ht="12.5" x14ac:dyDescent="0.35">
      <c r="A537" s="224">
        <v>449</v>
      </c>
      <c r="B537" s="225">
        <v>45689</v>
      </c>
      <c r="C537" s="226" t="str">
        <f>LOOKUP(B537,'HIDDEN DATA'!$A:$B,'HIDDEN DATA'!$C:$C)</f>
        <v>2024-2025</v>
      </c>
      <c r="D537" s="227" t="s">
        <v>253</v>
      </c>
      <c r="E537" s="228" t="str">
        <f>VLOOKUP(D537,'PLAN COMPTABLE'!$C:$D,2,0)</f>
        <v>Charge</v>
      </c>
      <c r="F537" s="227"/>
      <c r="G537" s="229"/>
      <c r="H537" s="227" t="s">
        <v>140</v>
      </c>
      <c r="I537" s="230">
        <v>194</v>
      </c>
      <c r="J537" s="231" t="s">
        <v>441</v>
      </c>
    </row>
    <row r="538" spans="1:10" ht="12.5" x14ac:dyDescent="0.35">
      <c r="A538" s="224">
        <v>450</v>
      </c>
      <c r="B538" s="225">
        <v>45728</v>
      </c>
      <c r="C538" s="226" t="str">
        <f>LOOKUP(B538,'HIDDEN DATA'!$A:$B,'HIDDEN DATA'!$C:$C)</f>
        <v>2024-2025</v>
      </c>
      <c r="D538" s="227" t="s">
        <v>292</v>
      </c>
      <c r="E538" s="228" t="str">
        <f>VLOOKUP(D538,'PLAN COMPTABLE'!$C:$D,2,0)</f>
        <v>Produit</v>
      </c>
      <c r="F538" s="227"/>
      <c r="G538" s="229"/>
      <c r="H538" s="227" t="s">
        <v>140</v>
      </c>
      <c r="I538" s="230">
        <v>300</v>
      </c>
      <c r="J538" s="231" t="s">
        <v>442</v>
      </c>
    </row>
    <row r="539" spans="1:10" ht="12.5" x14ac:dyDescent="0.35">
      <c r="A539" s="224">
        <v>451</v>
      </c>
      <c r="B539" s="225">
        <v>45729</v>
      </c>
      <c r="C539" s="226" t="str">
        <f>LOOKUP(B539,'HIDDEN DATA'!$A:$B,'HIDDEN DATA'!$C:$C)</f>
        <v>2024-2025</v>
      </c>
      <c r="D539" s="227" t="s">
        <v>499</v>
      </c>
      <c r="E539" s="228" t="str">
        <f>VLOOKUP(D539,'PLAN COMPTABLE'!$C:$D,2,0)</f>
        <v>Charge</v>
      </c>
      <c r="F539" s="227"/>
      <c r="G539" s="229"/>
      <c r="H539" s="227" t="s">
        <v>140</v>
      </c>
      <c r="I539" s="230">
        <v>150</v>
      </c>
      <c r="J539" s="231" t="s">
        <v>415</v>
      </c>
    </row>
    <row r="540" spans="1:10" ht="12.5" x14ac:dyDescent="0.35">
      <c r="A540" s="224">
        <v>452</v>
      </c>
      <c r="B540" s="225">
        <v>45724</v>
      </c>
      <c r="C540" s="226" t="str">
        <f>LOOKUP(B540,'HIDDEN DATA'!$A:$B,'HIDDEN DATA'!$C:$C)</f>
        <v>2024-2025</v>
      </c>
      <c r="D540" s="227" t="s">
        <v>291</v>
      </c>
      <c r="E540" s="228" t="str">
        <f>VLOOKUP(D540,'PLAN COMPTABLE'!$C:$D,2,0)</f>
        <v>Charge</v>
      </c>
      <c r="F540" s="227"/>
      <c r="G540" s="229"/>
      <c r="H540" s="227" t="s">
        <v>140</v>
      </c>
      <c r="I540" s="230">
        <f>469.63+33.59</f>
        <v>503.22</v>
      </c>
      <c r="J540" s="231" t="s">
        <v>443</v>
      </c>
    </row>
    <row r="541" spans="1:10" ht="12.5" x14ac:dyDescent="0.35">
      <c r="A541" s="224">
        <v>453</v>
      </c>
      <c r="B541" s="225">
        <v>45731</v>
      </c>
      <c r="C541" s="226" t="str">
        <f>LOOKUP(B541,'HIDDEN DATA'!$A:$B,'HIDDEN DATA'!$C:$C)</f>
        <v>2024-2025</v>
      </c>
      <c r="D541" s="227" t="s">
        <v>156</v>
      </c>
      <c r="E541" s="228" t="str">
        <f>VLOOKUP(D541,'PLAN COMPTABLE'!$C:$D,2,0)</f>
        <v>Charge</v>
      </c>
      <c r="F541" s="227"/>
      <c r="G541" s="229"/>
      <c r="H541" s="227" t="s">
        <v>140</v>
      </c>
      <c r="I541" s="230">
        <f>31.05+42.75</f>
        <v>73.8</v>
      </c>
      <c r="J541" s="231" t="s">
        <v>444</v>
      </c>
    </row>
    <row r="542" spans="1:10" ht="12.5" x14ac:dyDescent="0.35">
      <c r="A542" s="224">
        <v>454</v>
      </c>
      <c r="B542" s="225">
        <v>45735</v>
      </c>
      <c r="C542" s="226" t="str">
        <f>LOOKUP(B542,'HIDDEN DATA'!$A:$B,'HIDDEN DATA'!$C:$C)</f>
        <v>2024-2025</v>
      </c>
      <c r="D542" s="227" t="s">
        <v>499</v>
      </c>
      <c r="E542" s="228" t="str">
        <f>VLOOKUP(D542,'PLAN COMPTABLE'!$C:$D,2,0)</f>
        <v>Charge</v>
      </c>
      <c r="F542" s="227"/>
      <c r="G542" s="229"/>
      <c r="H542" s="227" t="s">
        <v>140</v>
      </c>
      <c r="I542" s="230">
        <v>250</v>
      </c>
      <c r="J542" s="231" t="s">
        <v>331</v>
      </c>
    </row>
    <row r="543" spans="1:10" ht="12.5" x14ac:dyDescent="0.35">
      <c r="A543" s="224">
        <v>455</v>
      </c>
      <c r="B543" s="225">
        <v>45736</v>
      </c>
      <c r="C543" s="226" t="str">
        <f>LOOKUP(B543,'HIDDEN DATA'!$A:$B,'HIDDEN DATA'!$C:$C)</f>
        <v>2024-2025</v>
      </c>
      <c r="D543" s="227" t="s">
        <v>499</v>
      </c>
      <c r="E543" s="228" t="str">
        <f>VLOOKUP(D543,'PLAN COMPTABLE'!$C:$D,2,0)</f>
        <v>Charge</v>
      </c>
      <c r="F543" s="227"/>
      <c r="G543" s="229"/>
      <c r="H543" s="227" t="s">
        <v>140</v>
      </c>
      <c r="I543" s="230">
        <v>29.5</v>
      </c>
      <c r="J543" s="231" t="s">
        <v>445</v>
      </c>
    </row>
    <row r="544" spans="1:10" ht="12.5" x14ac:dyDescent="0.35">
      <c r="A544" s="224">
        <v>456</v>
      </c>
      <c r="B544" s="225">
        <v>45742</v>
      </c>
      <c r="C544" s="226" t="str">
        <f>LOOKUP(B544,'HIDDEN DATA'!$A:$B,'HIDDEN DATA'!$C:$C)</f>
        <v>2024-2025</v>
      </c>
      <c r="D544" s="227" t="s">
        <v>215</v>
      </c>
      <c r="E544" s="228" t="str">
        <f>VLOOKUP(D544,'PLAN COMPTABLE'!$C:$D,2,0)</f>
        <v>Charge</v>
      </c>
      <c r="F544" s="227"/>
      <c r="G544" s="229"/>
      <c r="H544" s="227" t="s">
        <v>140</v>
      </c>
      <c r="I544" s="230">
        <v>300</v>
      </c>
      <c r="J544" s="231" t="s">
        <v>446</v>
      </c>
    </row>
    <row r="545" spans="1:10" ht="12.5" x14ac:dyDescent="0.35">
      <c r="A545" s="224">
        <v>457</v>
      </c>
      <c r="B545" s="225">
        <v>45736</v>
      </c>
      <c r="C545" s="226" t="str">
        <f>LOOKUP(B545,'HIDDEN DATA'!$A:$B,'HIDDEN DATA'!$C:$C)</f>
        <v>2024-2025</v>
      </c>
      <c r="D545" s="227" t="s">
        <v>499</v>
      </c>
      <c r="E545" s="228" t="str">
        <f>VLOOKUP(D545,'PLAN COMPTABLE'!$C:$D,2,0)</f>
        <v>Charge</v>
      </c>
      <c r="F545" s="227"/>
      <c r="G545" s="229"/>
      <c r="H545" s="227" t="s">
        <v>140</v>
      </c>
      <c r="I545" s="230">
        <v>27</v>
      </c>
      <c r="J545" s="231" t="s">
        <v>341</v>
      </c>
    </row>
    <row r="546" spans="1:10" ht="12.5" x14ac:dyDescent="0.35">
      <c r="A546" s="224">
        <v>458</v>
      </c>
      <c r="B546" s="225">
        <v>45726</v>
      </c>
      <c r="C546" s="226" t="str">
        <f>LOOKUP(B546,'HIDDEN DATA'!$A:$B,'HIDDEN DATA'!$C:$C)</f>
        <v>2024-2025</v>
      </c>
      <c r="D546" s="227" t="s">
        <v>499</v>
      </c>
      <c r="E546" s="228" t="str">
        <f>VLOOKUP(D546,'PLAN COMPTABLE'!$C:$D,2,0)</f>
        <v>Charge</v>
      </c>
      <c r="F546" s="227"/>
      <c r="G546" s="229"/>
      <c r="H546" s="227" t="s">
        <v>140</v>
      </c>
      <c r="I546" s="230">
        <v>18</v>
      </c>
      <c r="J546" s="231" t="s">
        <v>447</v>
      </c>
    </row>
    <row r="547" spans="1:10" ht="12.5" x14ac:dyDescent="0.35">
      <c r="A547" s="224">
        <v>459</v>
      </c>
      <c r="B547" s="225">
        <v>45737</v>
      </c>
      <c r="C547" s="226" t="str">
        <f>LOOKUP(B547,'HIDDEN DATA'!$A:$B,'HIDDEN DATA'!$C:$C)</f>
        <v>2024-2025</v>
      </c>
      <c r="D547" s="227" t="s">
        <v>499</v>
      </c>
      <c r="E547" s="228" t="str">
        <f>VLOOKUP(D547,'PLAN COMPTABLE'!$C:$D,2,0)</f>
        <v>Charge</v>
      </c>
      <c r="F547" s="227"/>
      <c r="G547" s="229"/>
      <c r="H547" s="227" t="s">
        <v>140</v>
      </c>
      <c r="I547" s="230">
        <v>219.6</v>
      </c>
      <c r="J547" s="231" t="s">
        <v>448</v>
      </c>
    </row>
    <row r="548" spans="1:10" ht="12.5" x14ac:dyDescent="0.35">
      <c r="A548" s="224">
        <v>460</v>
      </c>
      <c r="B548" s="225">
        <v>45736</v>
      </c>
      <c r="C548" s="226" t="str">
        <f>LOOKUP(B548,'HIDDEN DATA'!$A:$B,'HIDDEN DATA'!$C:$C)</f>
        <v>2024-2025</v>
      </c>
      <c r="D548" s="227" t="s">
        <v>499</v>
      </c>
      <c r="E548" s="228" t="str">
        <f>VLOOKUP(D548,'PLAN COMPTABLE'!$C:$D,2,0)</f>
        <v>Charge</v>
      </c>
      <c r="F548" s="227"/>
      <c r="G548" s="229"/>
      <c r="H548" s="227" t="s">
        <v>140</v>
      </c>
      <c r="I548" s="230">
        <v>3.97</v>
      </c>
      <c r="J548" s="231" t="s">
        <v>449</v>
      </c>
    </row>
    <row r="549" spans="1:10" ht="12.5" x14ac:dyDescent="0.35">
      <c r="A549" s="224">
        <v>461</v>
      </c>
      <c r="B549" s="225">
        <v>45743</v>
      </c>
      <c r="C549" s="226" t="str">
        <f>LOOKUP(B549,'HIDDEN DATA'!$A:$B,'HIDDEN DATA'!$C:$C)</f>
        <v>2024-2025</v>
      </c>
      <c r="D549" s="227" t="s">
        <v>450</v>
      </c>
      <c r="E549" s="228" t="str">
        <f>VLOOKUP(D549,'PLAN COMPTABLE'!$C:$D,2,0)</f>
        <v>Produit</v>
      </c>
      <c r="F549" s="227"/>
      <c r="G549" s="229"/>
      <c r="H549" s="227" t="s">
        <v>140</v>
      </c>
      <c r="I549" s="230">
        <v>562</v>
      </c>
      <c r="J549" s="231" t="s">
        <v>451</v>
      </c>
    </row>
    <row r="550" spans="1:10" ht="12.5" x14ac:dyDescent="0.35">
      <c r="A550" s="224">
        <v>462</v>
      </c>
      <c r="B550" s="225">
        <v>45736</v>
      </c>
      <c r="C550" s="226" t="str">
        <f>LOOKUP(B550,'HIDDEN DATA'!$A:$B,'HIDDEN DATA'!$C:$C)</f>
        <v>2024-2025</v>
      </c>
      <c r="D550" s="227" t="s">
        <v>499</v>
      </c>
      <c r="E550" s="228" t="str">
        <f>VLOOKUP(D550,'PLAN COMPTABLE'!$C:$D,2,0)</f>
        <v>Charge</v>
      </c>
      <c r="F550" s="227"/>
      <c r="G550" s="229"/>
      <c r="H550" s="227" t="s">
        <v>140</v>
      </c>
      <c r="I550" s="230">
        <f>23.94+14.71-4.45</f>
        <v>34.200000000000003</v>
      </c>
      <c r="J550" s="231" t="s">
        <v>452</v>
      </c>
    </row>
    <row r="551" spans="1:10" ht="12.5" x14ac:dyDescent="0.35">
      <c r="A551" s="224">
        <v>463</v>
      </c>
      <c r="B551" s="225">
        <v>45743</v>
      </c>
      <c r="C551" s="226" t="str">
        <f>LOOKUP(B551,'HIDDEN DATA'!$A:$B,'HIDDEN DATA'!$C:$C)</f>
        <v>2024-2025</v>
      </c>
      <c r="D551" s="227" t="s">
        <v>245</v>
      </c>
      <c r="E551" s="228" t="str">
        <f>VLOOKUP(D551,'PLAN COMPTABLE'!$C:$D,2,0)</f>
        <v>Charge</v>
      </c>
      <c r="F551" s="227"/>
      <c r="G551" s="229"/>
      <c r="H551" s="227" t="s">
        <v>140</v>
      </c>
      <c r="I551" s="230">
        <v>323.88</v>
      </c>
      <c r="J551" s="231" t="s">
        <v>453</v>
      </c>
    </row>
    <row r="552" spans="1:10" ht="12.5" x14ac:dyDescent="0.35">
      <c r="A552" s="224">
        <v>464</v>
      </c>
      <c r="B552" s="225">
        <v>45742</v>
      </c>
      <c r="C552" s="226" t="str">
        <f>LOOKUP(B552,'HIDDEN DATA'!$A:$B,'HIDDEN DATA'!$C:$C)</f>
        <v>2024-2025</v>
      </c>
      <c r="D552" s="227" t="s">
        <v>245</v>
      </c>
      <c r="E552" s="228" t="str">
        <f>VLOOKUP(D552,'PLAN COMPTABLE'!$C:$D,2,0)</f>
        <v>Charge</v>
      </c>
      <c r="F552" s="227"/>
      <c r="G552" s="229"/>
      <c r="H552" s="227" t="s">
        <v>140</v>
      </c>
      <c r="I552" s="230">
        <f>48.29+7.99</f>
        <v>56.28</v>
      </c>
      <c r="J552" s="231" t="s">
        <v>400</v>
      </c>
    </row>
    <row r="553" spans="1:10" ht="12.5" x14ac:dyDescent="0.35">
      <c r="A553" s="224">
        <v>465</v>
      </c>
      <c r="B553" s="225">
        <v>45741</v>
      </c>
      <c r="C553" s="226" t="str">
        <f>LOOKUP(B553,'HIDDEN DATA'!$A:$B,'HIDDEN DATA'!$C:$C)</f>
        <v>2024-2025</v>
      </c>
      <c r="D553" s="227" t="s">
        <v>245</v>
      </c>
      <c r="E553" s="228" t="str">
        <f>VLOOKUP(D553,'PLAN COMPTABLE'!$C:$D,2,0)</f>
        <v>Charge</v>
      </c>
      <c r="F553" s="227"/>
      <c r="G553" s="229"/>
      <c r="H553" s="227" t="s">
        <v>140</v>
      </c>
      <c r="I553" s="230">
        <v>250</v>
      </c>
      <c r="J553" s="231" t="s">
        <v>454</v>
      </c>
    </row>
    <row r="554" spans="1:10" ht="12.5" x14ac:dyDescent="0.35">
      <c r="A554" s="224">
        <v>466</v>
      </c>
      <c r="B554" s="225">
        <v>45741</v>
      </c>
      <c r="C554" s="226" t="str">
        <f>LOOKUP(B554,'HIDDEN DATA'!$A:$B,'HIDDEN DATA'!$C:$C)</f>
        <v>2024-2025</v>
      </c>
      <c r="D554" s="227" t="s">
        <v>245</v>
      </c>
      <c r="E554" s="228" t="str">
        <f>VLOOKUP(D554,'PLAN COMPTABLE'!$C:$D,2,0)</f>
        <v>Charge</v>
      </c>
      <c r="F554" s="227"/>
      <c r="G554" s="229"/>
      <c r="H554" s="227" t="s">
        <v>140</v>
      </c>
      <c r="I554" s="230">
        <v>6.75</v>
      </c>
      <c r="J554" s="231" t="s">
        <v>455</v>
      </c>
    </row>
    <row r="555" spans="1:10" ht="12.5" x14ac:dyDescent="0.35">
      <c r="A555" s="224">
        <v>467</v>
      </c>
      <c r="B555" s="225">
        <v>45747</v>
      </c>
      <c r="C555" s="226" t="str">
        <f>LOOKUP(B555,'HIDDEN DATA'!$A:$B,'HIDDEN DATA'!$C:$C)</f>
        <v>2024-2025</v>
      </c>
      <c r="D555" s="227" t="s">
        <v>183</v>
      </c>
      <c r="E555" s="228" t="str">
        <f>VLOOKUP(D555,'PLAN COMPTABLE'!$C:$D,2,0)</f>
        <v>Charge</v>
      </c>
      <c r="F555" s="227"/>
      <c r="G555" s="229"/>
      <c r="H555" s="227" t="s">
        <v>140</v>
      </c>
      <c r="I555" s="230">
        <v>976</v>
      </c>
      <c r="J555" s="231" t="s">
        <v>456</v>
      </c>
    </row>
    <row r="556" spans="1:10" ht="12.5" x14ac:dyDescent="0.35">
      <c r="A556" s="224">
        <v>468</v>
      </c>
      <c r="B556" s="225">
        <v>45742</v>
      </c>
      <c r="C556" s="226" t="str">
        <f>LOOKUP(B556,'HIDDEN DATA'!$A:$B,'HIDDEN DATA'!$C:$C)</f>
        <v>2024-2025</v>
      </c>
      <c r="D556" s="227" t="s">
        <v>183</v>
      </c>
      <c r="E556" s="228" t="str">
        <f>VLOOKUP(D556,'PLAN COMPTABLE'!$C:$D,2,0)</f>
        <v>Charge</v>
      </c>
      <c r="F556" s="227"/>
      <c r="G556" s="229"/>
      <c r="H556" s="227" t="s">
        <v>140</v>
      </c>
      <c r="I556" s="230">
        <v>222.65</v>
      </c>
      <c r="J556" s="231" t="s">
        <v>457</v>
      </c>
    </row>
    <row r="557" spans="1:10" ht="12.5" x14ac:dyDescent="0.35">
      <c r="A557" s="224">
        <v>469</v>
      </c>
      <c r="B557" s="225">
        <v>45742</v>
      </c>
      <c r="C557" s="226" t="str">
        <f>LOOKUP(B557,'HIDDEN DATA'!$A:$B,'HIDDEN DATA'!$C:$C)</f>
        <v>2024-2025</v>
      </c>
      <c r="D557" s="227" t="s">
        <v>183</v>
      </c>
      <c r="E557" s="228" t="str">
        <f>VLOOKUP(D557,'PLAN COMPTABLE'!$C:$D,2,0)</f>
        <v>Charge</v>
      </c>
      <c r="F557" s="227"/>
      <c r="G557" s="229"/>
      <c r="H557" s="227" t="s">
        <v>140</v>
      </c>
      <c r="I557" s="230">
        <v>152.61000000000001</v>
      </c>
      <c r="J557" s="231" t="s">
        <v>458</v>
      </c>
    </row>
    <row r="558" spans="1:10" ht="12.5" x14ac:dyDescent="0.35">
      <c r="A558" s="224">
        <v>470</v>
      </c>
      <c r="B558" s="225">
        <v>45744</v>
      </c>
      <c r="C558" s="226" t="str">
        <f>LOOKUP(B558,'HIDDEN DATA'!$A:$B,'HIDDEN DATA'!$C:$C)</f>
        <v>2024-2025</v>
      </c>
      <c r="D558" s="227" t="s">
        <v>183</v>
      </c>
      <c r="E558" s="228" t="str">
        <f>VLOOKUP(D558,'PLAN COMPTABLE'!$C:$D,2,0)</f>
        <v>Charge</v>
      </c>
      <c r="F558" s="227"/>
      <c r="G558" s="229"/>
      <c r="H558" s="227" t="s">
        <v>140</v>
      </c>
      <c r="I558" s="230">
        <v>27.32</v>
      </c>
      <c r="J558" s="231" t="s">
        <v>459</v>
      </c>
    </row>
    <row r="559" spans="1:10" ht="12.5" x14ac:dyDescent="0.35">
      <c r="A559" s="224">
        <v>471</v>
      </c>
      <c r="B559" s="225">
        <v>45744</v>
      </c>
      <c r="C559" s="226" t="str">
        <f>LOOKUP(B559,'HIDDEN DATA'!$A:$B,'HIDDEN DATA'!$C:$C)</f>
        <v>2024-2025</v>
      </c>
      <c r="D559" s="227" t="s">
        <v>183</v>
      </c>
      <c r="E559" s="228" t="str">
        <f>VLOOKUP(D559,'PLAN COMPTABLE'!$C:$D,2,0)</f>
        <v>Charge</v>
      </c>
      <c r="F559" s="227"/>
      <c r="G559" s="229"/>
      <c r="H559" s="227" t="s">
        <v>140</v>
      </c>
      <c r="I559" s="230">
        <v>36.22</v>
      </c>
      <c r="J559" s="231" t="s">
        <v>460</v>
      </c>
    </row>
    <row r="560" spans="1:10" ht="12.5" x14ac:dyDescent="0.35">
      <c r="A560" s="224">
        <v>472</v>
      </c>
      <c r="B560" s="225">
        <v>45744</v>
      </c>
      <c r="C560" s="226" t="str">
        <f>LOOKUP(B560,'HIDDEN DATA'!$A:$B,'HIDDEN DATA'!$C:$C)</f>
        <v>2024-2025</v>
      </c>
      <c r="D560" s="227" t="s">
        <v>183</v>
      </c>
      <c r="E560" s="228" t="str">
        <f>VLOOKUP(D560,'PLAN COMPTABLE'!$C:$D,2,0)</f>
        <v>Charge</v>
      </c>
      <c r="F560" s="227"/>
      <c r="G560" s="229"/>
      <c r="H560" s="227" t="s">
        <v>140</v>
      </c>
      <c r="I560" s="230">
        <v>6</v>
      </c>
      <c r="J560" s="231" t="s">
        <v>461</v>
      </c>
    </row>
    <row r="561" spans="1:10" ht="12.5" x14ac:dyDescent="0.35">
      <c r="A561" s="224">
        <v>473</v>
      </c>
      <c r="B561" s="225">
        <v>45744</v>
      </c>
      <c r="C561" s="226" t="str">
        <f>LOOKUP(B561,'HIDDEN DATA'!$A:$B,'HIDDEN DATA'!$C:$C)</f>
        <v>2024-2025</v>
      </c>
      <c r="D561" s="227" t="s">
        <v>183</v>
      </c>
      <c r="E561" s="228" t="str">
        <f>VLOOKUP(D561,'PLAN COMPTABLE'!$C:$D,2,0)</f>
        <v>Charge</v>
      </c>
      <c r="F561" s="227"/>
      <c r="G561" s="229"/>
      <c r="H561" s="227" t="s">
        <v>140</v>
      </c>
      <c r="I561" s="230">
        <v>37.93</v>
      </c>
      <c r="J561" s="231" t="s">
        <v>462</v>
      </c>
    </row>
    <row r="562" spans="1:10" ht="12.5" x14ac:dyDescent="0.35">
      <c r="A562" s="224">
        <v>474</v>
      </c>
      <c r="B562" s="225">
        <v>45744</v>
      </c>
      <c r="C562" s="226" t="str">
        <f>LOOKUP(B562,'HIDDEN DATA'!$A:$B,'HIDDEN DATA'!$C:$C)</f>
        <v>2024-2025</v>
      </c>
      <c r="D562" s="227" t="s">
        <v>183</v>
      </c>
      <c r="E562" s="228" t="str">
        <f>VLOOKUP(D562,'PLAN COMPTABLE'!$C:$D,2,0)</f>
        <v>Charge</v>
      </c>
      <c r="F562" s="227"/>
      <c r="G562" s="229"/>
      <c r="H562" s="227" t="s">
        <v>140</v>
      </c>
      <c r="I562" s="230">
        <v>213.75</v>
      </c>
      <c r="J562" s="231" t="s">
        <v>463</v>
      </c>
    </row>
    <row r="563" spans="1:10" ht="12.5" x14ac:dyDescent="0.35">
      <c r="A563" s="224">
        <v>475</v>
      </c>
      <c r="B563" s="225">
        <v>45740</v>
      </c>
      <c r="C563" s="226" t="str">
        <f>LOOKUP(B563,'HIDDEN DATA'!$A:$B,'HIDDEN DATA'!$C:$C)</f>
        <v>2024-2025</v>
      </c>
      <c r="D563" s="227" t="s">
        <v>183</v>
      </c>
      <c r="E563" s="228" t="str">
        <f>VLOOKUP(D563,'PLAN COMPTABLE'!$C:$D,2,0)</f>
        <v>Charge</v>
      </c>
      <c r="F563" s="227"/>
      <c r="G563" s="229"/>
      <c r="H563" s="227" t="s">
        <v>140</v>
      </c>
      <c r="I563" s="230">
        <v>186.17</v>
      </c>
      <c r="J563" s="231" t="s">
        <v>460</v>
      </c>
    </row>
    <row r="564" spans="1:10" ht="12.5" x14ac:dyDescent="0.35">
      <c r="A564" s="224">
        <v>476</v>
      </c>
      <c r="B564" s="225">
        <v>45741</v>
      </c>
      <c r="C564" s="226" t="str">
        <f>LOOKUP(B564,'HIDDEN DATA'!$A:$B,'HIDDEN DATA'!$C:$C)</f>
        <v>2024-2025</v>
      </c>
      <c r="D564" s="227" t="s">
        <v>183</v>
      </c>
      <c r="E564" s="228" t="str">
        <f>VLOOKUP(D564,'PLAN COMPTABLE'!$C:$D,2,0)</f>
        <v>Charge</v>
      </c>
      <c r="F564" s="227"/>
      <c r="G564" s="229"/>
      <c r="H564" s="227" t="s">
        <v>140</v>
      </c>
      <c r="I564" s="230">
        <v>20</v>
      </c>
      <c r="J564" s="231" t="s">
        <v>464</v>
      </c>
    </row>
    <row r="565" spans="1:10" ht="12.5" x14ac:dyDescent="0.35">
      <c r="A565" s="224">
        <v>477</v>
      </c>
      <c r="B565" s="225">
        <v>45771</v>
      </c>
      <c r="C565" s="226" t="str">
        <f>LOOKUP(B565,'HIDDEN DATA'!$A:$B,'HIDDEN DATA'!$C:$C)</f>
        <v>2024-2025</v>
      </c>
      <c r="D565" s="227" t="s">
        <v>159</v>
      </c>
      <c r="E565" s="228" t="str">
        <f>VLOOKUP(D565,'PLAN COMPTABLE'!$C:$D,2,0)</f>
        <v>Charge</v>
      </c>
      <c r="F565" s="227"/>
      <c r="G565" s="229"/>
      <c r="H565" s="227" t="s">
        <v>140</v>
      </c>
      <c r="I565" s="230">
        <f>249.3+11.57</f>
        <v>260.87</v>
      </c>
      <c r="J565" s="231" t="s">
        <v>465</v>
      </c>
    </row>
    <row r="566" spans="1:10" ht="12.5" x14ac:dyDescent="0.35">
      <c r="A566" s="224">
        <v>478</v>
      </c>
      <c r="B566" s="225">
        <v>45745</v>
      </c>
      <c r="C566" s="226" t="str">
        <f>LOOKUP(B566,'HIDDEN DATA'!$A:$B,'HIDDEN DATA'!$C:$C)</f>
        <v>2024-2025</v>
      </c>
      <c r="D566" s="227" t="s">
        <v>146</v>
      </c>
      <c r="E566" s="228" t="str">
        <f>VLOOKUP(D566,'PLAN COMPTABLE'!$C:$D,2,0)</f>
        <v>Charge</v>
      </c>
      <c r="F566" s="227"/>
      <c r="G566" s="229"/>
      <c r="H566" s="227" t="s">
        <v>140</v>
      </c>
      <c r="I566" s="230">
        <v>10.34</v>
      </c>
      <c r="J566" s="231" t="s">
        <v>466</v>
      </c>
    </row>
    <row r="567" spans="1:10" ht="12.5" x14ac:dyDescent="0.35">
      <c r="A567" s="224">
        <v>479</v>
      </c>
      <c r="B567" s="225">
        <v>45742</v>
      </c>
      <c r="C567" s="226" t="str">
        <f>LOOKUP(B567,'HIDDEN DATA'!$A:$B,'HIDDEN DATA'!$C:$C)</f>
        <v>2024-2025</v>
      </c>
      <c r="D567" s="227" t="s">
        <v>183</v>
      </c>
      <c r="E567" s="228" t="str">
        <f>VLOOKUP(D567,'PLAN COMPTABLE'!$C:$D,2,0)</f>
        <v>Charge</v>
      </c>
      <c r="F567" s="227"/>
      <c r="G567" s="229"/>
      <c r="H567" s="227" t="s">
        <v>140</v>
      </c>
      <c r="I567" s="230">
        <v>895</v>
      </c>
      <c r="J567" s="231" t="s">
        <v>467</v>
      </c>
    </row>
    <row r="568" spans="1:10" ht="12.5" x14ac:dyDescent="0.35">
      <c r="A568" s="224">
        <v>480</v>
      </c>
      <c r="B568" s="225">
        <v>45743</v>
      </c>
      <c r="C568" s="226" t="str">
        <f>LOOKUP(B568,'HIDDEN DATA'!$A:$B,'HIDDEN DATA'!$C:$C)</f>
        <v>2024-2025</v>
      </c>
      <c r="D568" s="227" t="s">
        <v>183</v>
      </c>
      <c r="E568" s="228" t="str">
        <f>VLOOKUP(D568,'PLAN COMPTABLE'!$C:$D,2,0)</f>
        <v>Charge</v>
      </c>
      <c r="F568" s="227"/>
      <c r="G568" s="229"/>
      <c r="H568" s="227" t="s">
        <v>140</v>
      </c>
      <c r="I568" s="230">
        <v>915</v>
      </c>
      <c r="J568" s="231" t="s">
        <v>467</v>
      </c>
    </row>
    <row r="569" spans="1:10" ht="12.5" x14ac:dyDescent="0.35">
      <c r="A569" s="224">
        <v>481</v>
      </c>
      <c r="B569" s="225">
        <v>45782</v>
      </c>
      <c r="C569" s="226" t="str">
        <f>LOOKUP(B569,'HIDDEN DATA'!$A:$B,'HIDDEN DATA'!$C:$C)</f>
        <v>2024-2025</v>
      </c>
      <c r="D569" s="227" t="s">
        <v>292</v>
      </c>
      <c r="E569" s="228" t="str">
        <f>VLOOKUP(D569,'PLAN COMPTABLE'!$C:$D,2,0)</f>
        <v>Produit</v>
      </c>
      <c r="F569" s="227"/>
      <c r="G569" s="229"/>
      <c r="H569" s="227" t="s">
        <v>140</v>
      </c>
      <c r="I569" s="230">
        <v>500</v>
      </c>
      <c r="J569" s="231" t="s">
        <v>468</v>
      </c>
    </row>
    <row r="570" spans="1:10" ht="12.5" x14ac:dyDescent="0.35">
      <c r="A570" s="224">
        <v>482</v>
      </c>
      <c r="B570" s="225">
        <v>45802</v>
      </c>
      <c r="C570" s="226" t="str">
        <f>LOOKUP(B570,'HIDDEN DATA'!$A:$B,'HIDDEN DATA'!$C:$C)</f>
        <v>2024-2025</v>
      </c>
      <c r="D570" s="227" t="s">
        <v>292</v>
      </c>
      <c r="E570" s="228" t="str">
        <f>VLOOKUP(D570,'PLAN COMPTABLE'!$C:$D,2,0)</f>
        <v>Produit</v>
      </c>
      <c r="F570" s="227"/>
      <c r="G570" s="229"/>
      <c r="H570" s="227" t="s">
        <v>140</v>
      </c>
      <c r="I570" s="230">
        <v>500</v>
      </c>
      <c r="J570" s="231" t="s">
        <v>469</v>
      </c>
    </row>
    <row r="571" spans="1:10" ht="12.5" x14ac:dyDescent="0.35">
      <c r="A571" s="224">
        <v>483</v>
      </c>
      <c r="B571" s="225">
        <v>45840</v>
      </c>
      <c r="C571" s="226" t="str">
        <f>LOOKUP(B571,'HIDDEN DATA'!$A:$B,'HIDDEN DATA'!$C:$C)</f>
        <v>2024-2025</v>
      </c>
      <c r="D571" s="227" t="s">
        <v>292</v>
      </c>
      <c r="E571" s="228" t="str">
        <f>VLOOKUP(D571,'PLAN COMPTABLE'!$C:$D,2,0)</f>
        <v>Produit</v>
      </c>
      <c r="F571" s="227"/>
      <c r="G571" s="229"/>
      <c r="H571" s="227" t="s">
        <v>140</v>
      </c>
      <c r="I571" s="230">
        <v>500</v>
      </c>
      <c r="J571" s="231" t="s">
        <v>470</v>
      </c>
    </row>
    <row r="572" spans="1:10" ht="12.5" x14ac:dyDescent="0.35">
      <c r="A572" s="224">
        <v>484</v>
      </c>
      <c r="B572" s="225">
        <v>45845</v>
      </c>
      <c r="C572" s="226" t="str">
        <f>LOOKUP(B572,'HIDDEN DATA'!$A:$B,'HIDDEN DATA'!$C:$C)</f>
        <v>2024-2025</v>
      </c>
      <c r="D572" s="227" t="s">
        <v>169</v>
      </c>
      <c r="E572" s="228" t="str">
        <f>VLOOKUP(D572,'PLAN COMPTABLE'!$C:$D,2,0)</f>
        <v>Produit</v>
      </c>
      <c r="F572" s="227"/>
      <c r="G572" s="229"/>
      <c r="H572" s="227" t="s">
        <v>140</v>
      </c>
      <c r="I572" s="230">
        <v>2896.5</v>
      </c>
      <c r="J572" s="231"/>
    </row>
    <row r="573" spans="1:10" ht="12.5" x14ac:dyDescent="0.35">
      <c r="A573" s="224">
        <v>485</v>
      </c>
      <c r="B573" s="225">
        <v>45742</v>
      </c>
      <c r="C573" s="226" t="str">
        <f>LOOKUP(B573,'HIDDEN DATA'!$A:$B,'HIDDEN DATA'!$C:$C)</f>
        <v>2024-2025</v>
      </c>
      <c r="D573" s="227" t="s">
        <v>183</v>
      </c>
      <c r="E573" s="228" t="str">
        <f>VLOOKUP(D573,'PLAN COMPTABLE'!$C:$D,2,0)</f>
        <v>Charge</v>
      </c>
      <c r="F573" s="227"/>
      <c r="G573" s="229"/>
      <c r="H573" s="227" t="s">
        <v>140</v>
      </c>
      <c r="I573" s="230">
        <v>82.61</v>
      </c>
      <c r="J573" s="231" t="s">
        <v>471</v>
      </c>
    </row>
    <row r="574" spans="1:10" ht="12.5" x14ac:dyDescent="0.35">
      <c r="A574" s="224">
        <v>486</v>
      </c>
      <c r="B574" s="225">
        <v>45743</v>
      </c>
      <c r="C574" s="226" t="str">
        <f>LOOKUP(B574,'HIDDEN DATA'!$A:$B,'HIDDEN DATA'!$C:$C)</f>
        <v>2024-2025</v>
      </c>
      <c r="D574" s="227" t="s">
        <v>183</v>
      </c>
      <c r="E574" s="228" t="str">
        <f>VLOOKUP(D574,'PLAN COMPTABLE'!$C:$D,2,0)</f>
        <v>Charge</v>
      </c>
      <c r="F574" s="227"/>
      <c r="G574" s="229"/>
      <c r="H574" s="227" t="s">
        <v>140</v>
      </c>
      <c r="I574" s="230">
        <v>82.61</v>
      </c>
      <c r="J574" s="231" t="s">
        <v>471</v>
      </c>
    </row>
    <row r="575" spans="1:10" ht="12.5" x14ac:dyDescent="0.35">
      <c r="A575" s="224">
        <v>487</v>
      </c>
      <c r="B575" s="225">
        <v>45743</v>
      </c>
      <c r="C575" s="226" t="str">
        <f>LOOKUP(B575,'HIDDEN DATA'!$A:$B,'HIDDEN DATA'!$C:$C)</f>
        <v>2024-2025</v>
      </c>
      <c r="D575" s="227" t="s">
        <v>183</v>
      </c>
      <c r="E575" s="228" t="str">
        <f>VLOOKUP(D575,'PLAN COMPTABLE'!$C:$D,2,0)</f>
        <v>Charge</v>
      </c>
      <c r="F575" s="227"/>
      <c r="G575" s="229"/>
      <c r="H575" s="227" t="s">
        <v>140</v>
      </c>
      <c r="I575" s="230">
        <v>20.99</v>
      </c>
      <c r="J575" s="231" t="s">
        <v>471</v>
      </c>
    </row>
    <row r="576" spans="1:10" ht="12.5" x14ac:dyDescent="0.35">
      <c r="A576" s="224">
        <v>488</v>
      </c>
      <c r="B576" s="225">
        <v>45897</v>
      </c>
      <c r="C576" s="226" t="str">
        <f>LOOKUP(B576,'HIDDEN DATA'!$A:$B,'HIDDEN DATA'!$C:$C)</f>
        <v>2024-2025</v>
      </c>
      <c r="D576" s="227" t="s">
        <v>319</v>
      </c>
      <c r="E576" s="228" t="str">
        <f>VLOOKUP(D576,'PLAN COMPTABLE'!$C:$D,2,0)</f>
        <v>Charge</v>
      </c>
      <c r="F576" s="227"/>
      <c r="G576" s="229"/>
      <c r="H576" s="227" t="s">
        <v>140</v>
      </c>
      <c r="I576" s="230">
        <v>112.44</v>
      </c>
      <c r="J576" s="231" t="s">
        <v>472</v>
      </c>
    </row>
    <row r="577" spans="1:10" ht="12.5" x14ac:dyDescent="0.35">
      <c r="A577" s="224">
        <v>489</v>
      </c>
      <c r="B577" s="225">
        <v>45897</v>
      </c>
      <c r="C577" s="226" t="str">
        <f>LOOKUP(B577,'HIDDEN DATA'!$A:$B,'HIDDEN DATA'!$C:$C)</f>
        <v>2024-2025</v>
      </c>
      <c r="D577" s="227" t="s">
        <v>204</v>
      </c>
      <c r="E577" s="228" t="str">
        <f>VLOOKUP(D577,'PLAN COMPTABLE'!$C:$D,2,0)</f>
        <v>Charge</v>
      </c>
      <c r="F577" s="227"/>
      <c r="G577" s="229"/>
      <c r="H577" s="227" t="s">
        <v>140</v>
      </c>
      <c r="I577" s="230">
        <v>162.79</v>
      </c>
      <c r="J577" s="231" t="s">
        <v>473</v>
      </c>
    </row>
    <row r="578" spans="1:10" ht="12.5" x14ac:dyDescent="0.35">
      <c r="A578" s="224">
        <v>490</v>
      </c>
      <c r="B578" s="225">
        <v>45912</v>
      </c>
      <c r="C578" s="226" t="str">
        <f>LOOKUP(B578,'HIDDEN DATA'!$A:$B,'HIDDEN DATA'!$C:$C)</f>
        <v>2025-2026</v>
      </c>
      <c r="D578" s="227" t="s">
        <v>319</v>
      </c>
      <c r="E578" s="228" t="str">
        <f>VLOOKUP(D578,'PLAN COMPTABLE'!$C:$D,2,0)</f>
        <v>Charge</v>
      </c>
      <c r="F578" s="227"/>
      <c r="G578" s="229"/>
      <c r="H578" s="227" t="s">
        <v>140</v>
      </c>
      <c r="I578" s="230">
        <v>289.23</v>
      </c>
      <c r="J578" s="231" t="s">
        <v>474</v>
      </c>
    </row>
    <row r="579" spans="1:10" ht="12.5" x14ac:dyDescent="0.35">
      <c r="A579" s="224">
        <v>491</v>
      </c>
      <c r="B579" s="225">
        <v>45911</v>
      </c>
      <c r="C579" s="226" t="str">
        <f>LOOKUP(B579,'HIDDEN DATA'!$A:$B,'HIDDEN DATA'!$C:$C)</f>
        <v>2025-2026</v>
      </c>
      <c r="D579" s="227" t="s">
        <v>156</v>
      </c>
      <c r="E579" s="228" t="str">
        <f>VLOOKUP(D579,'PLAN COMPTABLE'!$C:$D,2,0)</f>
        <v>Charge</v>
      </c>
      <c r="F579" s="227"/>
      <c r="G579" s="229"/>
      <c r="H579" s="227" t="s">
        <v>140</v>
      </c>
      <c r="I579" s="230">
        <v>44.31</v>
      </c>
      <c r="J579" s="231" t="s">
        <v>475</v>
      </c>
    </row>
    <row r="580" spans="1:10" ht="12.5" x14ac:dyDescent="0.35">
      <c r="A580" s="224">
        <v>492</v>
      </c>
      <c r="B580" s="225">
        <v>45911</v>
      </c>
      <c r="C580" s="226" t="str">
        <f>LOOKUP(B580,'HIDDEN DATA'!$A:$B,'HIDDEN DATA'!$C:$C)</f>
        <v>2025-2026</v>
      </c>
      <c r="D580" s="227" t="s">
        <v>156</v>
      </c>
      <c r="E580" s="228" t="str">
        <f>VLOOKUP(D580,'PLAN COMPTABLE'!$C:$D,2,0)</f>
        <v>Charge</v>
      </c>
      <c r="F580" s="227"/>
      <c r="G580" s="229"/>
      <c r="H580" s="227" t="s">
        <v>140</v>
      </c>
      <c r="I580" s="230">
        <v>23.75</v>
      </c>
      <c r="J580" s="231" t="s">
        <v>475</v>
      </c>
    </row>
    <row r="581" spans="1:10" ht="12.5" x14ac:dyDescent="0.35">
      <c r="A581" s="224">
        <v>493</v>
      </c>
      <c r="B581" s="225">
        <v>45909</v>
      </c>
      <c r="C581" s="226" t="str">
        <f>LOOKUP(B581,'HIDDEN DATA'!$A:$B,'HIDDEN DATA'!$C:$C)</f>
        <v>2025-2026</v>
      </c>
      <c r="D581" s="227" t="s">
        <v>177</v>
      </c>
      <c r="E581" s="228" t="str">
        <f>VLOOKUP(D581,'PLAN COMPTABLE'!$C:$D,2,0)</f>
        <v>Charge</v>
      </c>
      <c r="F581" s="227"/>
      <c r="G581" s="229"/>
      <c r="H581" s="227" t="s">
        <v>140</v>
      </c>
      <c r="I581" s="230">
        <v>3.45</v>
      </c>
      <c r="J581" s="231" t="s">
        <v>476</v>
      </c>
    </row>
    <row r="582" spans="1:10" ht="12.5" x14ac:dyDescent="0.35">
      <c r="A582" s="224">
        <v>494</v>
      </c>
      <c r="B582" s="225">
        <v>45899</v>
      </c>
      <c r="C582" s="226" t="str">
        <f>LOOKUP(B582,'HIDDEN DATA'!$A:$B,'HIDDEN DATA'!$C:$C)</f>
        <v>2024-2025</v>
      </c>
      <c r="D582" s="227" t="s">
        <v>177</v>
      </c>
      <c r="E582" s="228" t="str">
        <f>VLOOKUP(D582,'PLAN COMPTABLE'!$C:$D,2,0)</f>
        <v>Charge</v>
      </c>
      <c r="F582" s="227"/>
      <c r="G582" s="229"/>
      <c r="H582" s="227" t="s">
        <v>140</v>
      </c>
      <c r="I582" s="230">
        <v>5.45</v>
      </c>
      <c r="J582" s="231" t="s">
        <v>477</v>
      </c>
    </row>
    <row r="583" spans="1:10" ht="12.5" x14ac:dyDescent="0.35">
      <c r="A583" s="224">
        <v>495</v>
      </c>
      <c r="B583" s="225">
        <v>45897</v>
      </c>
      <c r="C583" s="226" t="str">
        <f>LOOKUP(B583,'HIDDEN DATA'!$A:$B,'HIDDEN DATA'!$C:$C)</f>
        <v>2024-2025</v>
      </c>
      <c r="D583" s="227" t="s">
        <v>204</v>
      </c>
      <c r="E583" s="228" t="str">
        <f>VLOOKUP(D583,'PLAN COMPTABLE'!$C:$D,2,0)</f>
        <v>Charge</v>
      </c>
      <c r="F583" s="227"/>
      <c r="G583" s="229"/>
      <c r="H583" s="227" t="s">
        <v>140</v>
      </c>
      <c r="I583" s="230">
        <v>106.47</v>
      </c>
      <c r="J583" s="231" t="s">
        <v>478</v>
      </c>
    </row>
    <row r="584" spans="1:10" ht="12.5" x14ac:dyDescent="0.35">
      <c r="A584" s="224">
        <v>496</v>
      </c>
      <c r="B584" s="225">
        <v>45918</v>
      </c>
      <c r="C584" s="226" t="str">
        <f>LOOKUP(B584,'HIDDEN DATA'!$A:$B,'HIDDEN DATA'!$C:$C)</f>
        <v>2025-2026</v>
      </c>
      <c r="D584" s="227" t="s">
        <v>143</v>
      </c>
      <c r="E584" s="228" t="str">
        <f>VLOOKUP(D584,'PLAN COMPTABLE'!$C:$D,2,0)</f>
        <v>Charge</v>
      </c>
      <c r="F584" s="227"/>
      <c r="G584" s="229"/>
      <c r="H584" s="227" t="s">
        <v>140</v>
      </c>
      <c r="I584" s="230">
        <v>30</v>
      </c>
      <c r="J584" s="231" t="s">
        <v>479</v>
      </c>
    </row>
    <row r="585" spans="1:10" ht="12.5" x14ac:dyDescent="0.35">
      <c r="A585" s="224">
        <v>497</v>
      </c>
      <c r="B585" s="225">
        <v>45838</v>
      </c>
      <c r="C585" s="226" t="str">
        <f>LOOKUP(B585,'HIDDEN DATA'!$A:$B,'HIDDEN DATA'!$C:$C)</f>
        <v>2024-2025</v>
      </c>
      <c r="D585" s="227" t="s">
        <v>237</v>
      </c>
      <c r="E585" s="228" t="str">
        <f>VLOOKUP(D585,'PLAN COMPTABLE'!$C:$D,2,0)</f>
        <v>Charge</v>
      </c>
      <c r="F585" s="227"/>
      <c r="G585" s="229"/>
      <c r="H585" s="227" t="s">
        <v>140</v>
      </c>
      <c r="I585" s="230">
        <f>5.95*12</f>
        <v>71.400000000000006</v>
      </c>
      <c r="J585" s="231" t="s">
        <v>480</v>
      </c>
    </row>
    <row r="586" spans="1:10" ht="12.5" x14ac:dyDescent="0.35">
      <c r="A586" s="224">
        <v>498</v>
      </c>
      <c r="B586" s="225">
        <v>45909</v>
      </c>
      <c r="C586" s="226" t="str">
        <f>LOOKUP(B586,'HIDDEN DATA'!$A:$B,'HIDDEN DATA'!$C:$C)</f>
        <v>2025-2026</v>
      </c>
      <c r="D586" s="234" t="s">
        <v>85</v>
      </c>
      <c r="E586" s="228" t="str">
        <f>VLOOKUP(D586,'PLAN COMPTABLE'!$C:$D,2,0)</f>
        <v>Charge</v>
      </c>
      <c r="F586" s="227"/>
      <c r="G586" s="229"/>
      <c r="H586" s="227" t="s">
        <v>140</v>
      </c>
      <c r="I586" s="230">
        <v>33.25</v>
      </c>
      <c r="J586" s="231" t="s">
        <v>481</v>
      </c>
    </row>
    <row r="587" spans="1:10" ht="12.5" x14ac:dyDescent="0.35">
      <c r="A587" s="224">
        <v>499</v>
      </c>
      <c r="B587" s="225">
        <v>45925</v>
      </c>
      <c r="C587" s="226" t="str">
        <f>LOOKUP(B587,'HIDDEN DATA'!$A:$B,'HIDDEN DATA'!$C:$C)</f>
        <v>2025-2026</v>
      </c>
      <c r="D587" s="227" t="s">
        <v>85</v>
      </c>
      <c r="E587" s="228" t="str">
        <f>VLOOKUP(D587,'PLAN COMPTABLE'!$C:$D,2,0)</f>
        <v>Charge</v>
      </c>
      <c r="F587" s="227"/>
      <c r="G587" s="229"/>
      <c r="H587" s="227" t="s">
        <v>140</v>
      </c>
      <c r="I587" s="230">
        <v>225.8</v>
      </c>
      <c r="J587" s="231" t="s">
        <v>482</v>
      </c>
    </row>
    <row r="588" spans="1:10" ht="12.5" x14ac:dyDescent="0.35">
      <c r="A588" s="224">
        <v>500</v>
      </c>
      <c r="B588" s="225">
        <v>45943</v>
      </c>
      <c r="C588" s="226" t="str">
        <f>LOOKUP(B588,'HIDDEN DATA'!$A:$B,'HIDDEN DATA'!$C:$C)</f>
        <v>2025-2026</v>
      </c>
      <c r="D588" s="227" t="s">
        <v>257</v>
      </c>
      <c r="E588" s="228" t="str">
        <f>VLOOKUP(D588,'PLAN COMPTABLE'!$C:$D,2,0)</f>
        <v>Produit</v>
      </c>
      <c r="F588" s="227"/>
      <c r="G588" s="229"/>
      <c r="H588" s="227" t="s">
        <v>140</v>
      </c>
      <c r="I588" s="230">
        <v>44</v>
      </c>
      <c r="J588" s="231" t="s">
        <v>437</v>
      </c>
    </row>
    <row r="589" spans="1:10" ht="12.5" x14ac:dyDescent="0.35">
      <c r="A589" s="224">
        <v>501</v>
      </c>
      <c r="B589" s="225">
        <v>45932</v>
      </c>
      <c r="C589" s="226" t="str">
        <f>LOOKUP(B589,'HIDDEN DATA'!$A:$B,'HIDDEN DATA'!$C:$C)</f>
        <v>2025-2026</v>
      </c>
      <c r="D589" s="227" t="s">
        <v>143</v>
      </c>
      <c r="E589" s="228" t="str">
        <f>VLOOKUP(D589,'PLAN COMPTABLE'!$C:$D,2,0)</f>
        <v>Charge</v>
      </c>
      <c r="F589" s="227"/>
      <c r="G589" s="229"/>
      <c r="H589" s="227" t="s">
        <v>140</v>
      </c>
      <c r="I589" s="230">
        <v>30</v>
      </c>
      <c r="J589" s="231" t="s">
        <v>483</v>
      </c>
    </row>
    <row r="590" spans="1:10" ht="12.5" x14ac:dyDescent="0.35">
      <c r="A590" s="224">
        <v>502</v>
      </c>
      <c r="B590" s="225">
        <v>45925</v>
      </c>
      <c r="C590" s="226" t="str">
        <f>LOOKUP(B590,'HIDDEN DATA'!$A:$B,'HIDDEN DATA'!$C:$C)</f>
        <v>2025-2026</v>
      </c>
      <c r="D590" s="227" t="s">
        <v>85</v>
      </c>
      <c r="E590" s="228" t="str">
        <f>VLOOKUP(D590,'PLAN COMPTABLE'!$C:$D,2,0)</f>
        <v>Charge</v>
      </c>
      <c r="F590" s="227"/>
      <c r="G590" s="229"/>
      <c r="H590" s="227" t="s">
        <v>140</v>
      </c>
      <c r="I590" s="230">
        <v>13.98</v>
      </c>
      <c r="J590" s="231" t="s">
        <v>484</v>
      </c>
    </row>
    <row r="591" spans="1:10" ht="12.5" x14ac:dyDescent="0.35">
      <c r="A591" s="224">
        <v>503</v>
      </c>
      <c r="B591" s="225">
        <v>45925</v>
      </c>
      <c r="C591" s="226" t="str">
        <f>LOOKUP(B591,'HIDDEN DATA'!$A:$B,'HIDDEN DATA'!$C:$C)</f>
        <v>2025-2026</v>
      </c>
      <c r="D591" s="227" t="s">
        <v>85</v>
      </c>
      <c r="E591" s="228" t="str">
        <f>VLOOKUP(D591,'PLAN COMPTABLE'!$C:$D,2,0)</f>
        <v>Charge</v>
      </c>
      <c r="F591" s="227"/>
      <c r="G591" s="229"/>
      <c r="H591" s="227" t="s">
        <v>140</v>
      </c>
      <c r="I591" s="230">
        <v>117.17</v>
      </c>
      <c r="J591" s="231" t="s">
        <v>484</v>
      </c>
    </row>
    <row r="592" spans="1:10" ht="12.5" x14ac:dyDescent="0.35">
      <c r="A592" s="224">
        <v>504</v>
      </c>
      <c r="B592" s="225">
        <v>45940</v>
      </c>
      <c r="C592" s="226" t="str">
        <f>LOOKUP(B592,'HIDDEN DATA'!$A:$B,'HIDDEN DATA'!$C:$C)</f>
        <v>2025-2026</v>
      </c>
      <c r="D592" s="227" t="s">
        <v>214</v>
      </c>
      <c r="E592" s="228" t="str">
        <f>VLOOKUP(D592,'PLAN COMPTABLE'!$C:$D,2,0)</f>
        <v>Charge</v>
      </c>
      <c r="F592" s="227"/>
      <c r="G592" s="229"/>
      <c r="H592" s="227" t="s">
        <v>140</v>
      </c>
      <c r="I592" s="230">
        <v>35.630000000000003</v>
      </c>
      <c r="J592" s="231" t="s">
        <v>485</v>
      </c>
    </row>
    <row r="593" spans="1:10" ht="12.5" x14ac:dyDescent="0.35">
      <c r="A593" s="224">
        <v>505</v>
      </c>
      <c r="B593" s="225">
        <v>45925</v>
      </c>
      <c r="C593" s="226" t="str">
        <f>LOOKUP(B593,'HIDDEN DATA'!$A:$B,'HIDDEN DATA'!$C:$C)</f>
        <v>2025-2026</v>
      </c>
      <c r="D593" s="227" t="s">
        <v>85</v>
      </c>
      <c r="E593" s="228" t="str">
        <f>VLOOKUP(D593,'PLAN COMPTABLE'!$C:$D,2,0)</f>
        <v>Charge</v>
      </c>
      <c r="F593" s="227"/>
      <c r="G593" s="229"/>
      <c r="H593" s="227" t="s">
        <v>140</v>
      </c>
      <c r="I593" s="230">
        <v>21.24</v>
      </c>
      <c r="J593" s="231" t="s">
        <v>484</v>
      </c>
    </row>
    <row r="594" spans="1:10" ht="12.5" x14ac:dyDescent="0.35">
      <c r="A594" s="224">
        <v>506</v>
      </c>
      <c r="B594" s="225">
        <v>45918</v>
      </c>
      <c r="C594" s="226" t="str">
        <f>LOOKUP(B594,'HIDDEN DATA'!$A:$B,'HIDDEN DATA'!$C:$C)</f>
        <v>2025-2026</v>
      </c>
      <c r="D594" s="227" t="s">
        <v>143</v>
      </c>
      <c r="E594" s="228" t="str">
        <f>VLOOKUP(D594,'PLAN COMPTABLE'!$C:$D,2,0)</f>
        <v>Charge</v>
      </c>
      <c r="F594" s="227"/>
      <c r="G594" s="229"/>
      <c r="H594" s="227" t="s">
        <v>140</v>
      </c>
      <c r="I594" s="230">
        <v>4.99</v>
      </c>
      <c r="J594" s="231" t="s">
        <v>486</v>
      </c>
    </row>
    <row r="595" spans="1:10" ht="12.5" x14ac:dyDescent="0.35">
      <c r="A595" s="224">
        <v>507</v>
      </c>
      <c r="B595" s="225">
        <v>45958</v>
      </c>
      <c r="C595" s="226" t="str">
        <f>LOOKUP(B595,'HIDDEN DATA'!$A:$B,'HIDDEN DATA'!$C:$C)</f>
        <v>2025-2026</v>
      </c>
      <c r="D595" s="227" t="s">
        <v>434</v>
      </c>
      <c r="E595" s="228" t="str">
        <f>VLOOKUP(D595,'PLAN COMPTABLE'!$C:$D,2,0)</f>
        <v>Charge</v>
      </c>
      <c r="F595" s="227"/>
      <c r="G595" s="229"/>
      <c r="H595" s="227" t="s">
        <v>140</v>
      </c>
      <c r="I595" s="230">
        <v>400</v>
      </c>
      <c r="J595" s="231" t="s">
        <v>431</v>
      </c>
    </row>
    <row r="596" spans="1:10" ht="12.5" x14ac:dyDescent="0.35">
      <c r="A596" s="224">
        <v>508</v>
      </c>
      <c r="B596" s="225">
        <v>45966</v>
      </c>
      <c r="C596" s="226" t="str">
        <f>LOOKUP(B596,'HIDDEN DATA'!$A:$B,'HIDDEN DATA'!$C:$C)</f>
        <v>2025-2026</v>
      </c>
      <c r="D596" s="227" t="s">
        <v>292</v>
      </c>
      <c r="E596" s="228" t="str">
        <f>VLOOKUP(D596,'PLAN COMPTABLE'!$C:$D,2,0)</f>
        <v>Produit</v>
      </c>
      <c r="F596" s="227"/>
      <c r="G596" s="229"/>
      <c r="H596" s="227" t="s">
        <v>140</v>
      </c>
      <c r="I596" s="230">
        <v>500</v>
      </c>
      <c r="J596" s="231" t="s">
        <v>496</v>
      </c>
    </row>
    <row r="597" spans="1:10" ht="12.5" x14ac:dyDescent="0.35">
      <c r="A597" s="224">
        <v>509</v>
      </c>
      <c r="B597" s="225">
        <v>45981</v>
      </c>
      <c r="C597" s="226" t="str">
        <f>LOOKUP(B597,'HIDDEN DATA'!$A:$B,'HIDDEN DATA'!$C:$C)</f>
        <v>2025-2026</v>
      </c>
      <c r="D597" s="227" t="s">
        <v>146</v>
      </c>
      <c r="E597" s="228" t="str">
        <f>VLOOKUP(D597,'PLAN COMPTABLE'!$C:$D,2,0)</f>
        <v>Charge</v>
      </c>
      <c r="F597" s="227"/>
      <c r="G597" s="229"/>
      <c r="H597" s="227" t="s">
        <v>140</v>
      </c>
      <c r="I597" s="230">
        <v>29.34</v>
      </c>
      <c r="J597" s="231" t="s">
        <v>310</v>
      </c>
    </row>
    <row r="598" spans="1:10" ht="12.5" x14ac:dyDescent="0.35">
      <c r="A598" s="224">
        <v>510</v>
      </c>
      <c r="B598" s="225">
        <v>46002</v>
      </c>
      <c r="C598" s="226" t="str">
        <f>LOOKUP(B598,'HIDDEN DATA'!$A:$B,'HIDDEN DATA'!$C:$C)</f>
        <v>2025-2026</v>
      </c>
      <c r="D598" s="227" t="s">
        <v>151</v>
      </c>
      <c r="E598" s="228" t="str">
        <f>VLOOKUP(D598,'PLAN COMPTABLE'!$C:$D,2,0)</f>
        <v>Charge</v>
      </c>
      <c r="F598" s="227"/>
      <c r="G598" s="229"/>
      <c r="H598" s="227" t="s">
        <v>140</v>
      </c>
      <c r="I598" s="230">
        <v>40.76</v>
      </c>
      <c r="J598" s="231"/>
    </row>
    <row r="599" spans="1:10" ht="12.5" x14ac:dyDescent="0.35">
      <c r="A599" s="224">
        <v>511</v>
      </c>
      <c r="B599" s="225">
        <v>46003</v>
      </c>
      <c r="C599" s="226" t="str">
        <f>LOOKUP(B599,'HIDDEN DATA'!$A:$B,'HIDDEN DATA'!$C:$C)</f>
        <v>2025-2026</v>
      </c>
      <c r="D599" s="227" t="s">
        <v>159</v>
      </c>
      <c r="E599" s="228" t="str">
        <f>VLOOKUP(D599,'PLAN COMPTABLE'!$C:$D,2,0)</f>
        <v>Charge</v>
      </c>
      <c r="F599" s="227"/>
      <c r="G599" s="229"/>
      <c r="H599" s="227" t="s">
        <v>140</v>
      </c>
      <c r="I599" s="230">
        <f>28.91+29.35+28.91+29.35</f>
        <v>116.52000000000001</v>
      </c>
      <c r="J599" s="231" t="s">
        <v>497</v>
      </c>
    </row>
    <row r="600" spans="1:10" ht="12.5" x14ac:dyDescent="0.35">
      <c r="A600" s="224">
        <v>512</v>
      </c>
      <c r="B600" s="225">
        <v>46040</v>
      </c>
      <c r="C600" s="226" t="str">
        <f>LOOKUP(B600,'HIDDEN DATA'!$A:$B,'HIDDEN DATA'!$C:$C)</f>
        <v>2025-2026</v>
      </c>
      <c r="D600" s="227" t="s">
        <v>499</v>
      </c>
      <c r="E600" s="228" t="str">
        <f>VLOOKUP(D600,'PLAN COMPTABLE'!$C:$D,2,0)</f>
        <v>Charge</v>
      </c>
      <c r="F600" s="227"/>
      <c r="G600" s="229"/>
      <c r="H600" s="227" t="s">
        <v>140</v>
      </c>
      <c r="I600" s="230">
        <v>150</v>
      </c>
      <c r="J600" s="171" t="s">
        <v>498</v>
      </c>
    </row>
    <row r="601" spans="1:10" ht="12.5" x14ac:dyDescent="0.35">
      <c r="A601" s="224">
        <v>513</v>
      </c>
      <c r="B601" s="225">
        <v>46048</v>
      </c>
      <c r="C601" s="226" t="str">
        <f>LOOKUP(B601,'HIDDEN DATA'!$A:$B,'HIDDEN DATA'!$C:$C)</f>
        <v>2025-2026</v>
      </c>
      <c r="D601" s="227" t="s">
        <v>499</v>
      </c>
      <c r="E601" s="228" t="str">
        <f>VLOOKUP(D601,'PLAN COMPTABLE'!$C:$D,2,0)</f>
        <v>Charge</v>
      </c>
      <c r="F601" s="227"/>
      <c r="G601" s="229"/>
      <c r="H601" s="227" t="s">
        <v>140</v>
      </c>
      <c r="I601" s="230">
        <v>21.17</v>
      </c>
      <c r="J601" s="231" t="s">
        <v>500</v>
      </c>
    </row>
    <row r="602" spans="1:10" ht="12.5" x14ac:dyDescent="0.35">
      <c r="A602" s="224">
        <v>514</v>
      </c>
      <c r="B602" s="225">
        <v>46051</v>
      </c>
      <c r="C602" s="226" t="str">
        <f>LOOKUP(B602,'HIDDEN DATA'!$A:$B,'HIDDEN DATA'!$C:$C)</f>
        <v>2025-2026</v>
      </c>
      <c r="D602" s="227" t="s">
        <v>146</v>
      </c>
      <c r="E602" s="228" t="str">
        <f>VLOOKUP(D602,'PLAN COMPTABLE'!$C:$D,2,0)</f>
        <v>Charge</v>
      </c>
      <c r="F602" s="227"/>
      <c r="G602" s="229"/>
      <c r="H602" s="227" t="s">
        <v>140</v>
      </c>
      <c r="I602" s="230">
        <v>21.66</v>
      </c>
      <c r="J602" s="231" t="s">
        <v>372</v>
      </c>
    </row>
    <row r="603" spans="1:10" ht="12.5" x14ac:dyDescent="0.35">
      <c r="A603" s="224">
        <v>515</v>
      </c>
      <c r="B603" s="225">
        <v>46058</v>
      </c>
      <c r="C603" s="226" t="str">
        <f>LOOKUP(B603,'HIDDEN DATA'!$A:$B,'HIDDEN DATA'!$C:$C)</f>
        <v>2025-2026</v>
      </c>
      <c r="D603" s="227" t="s">
        <v>143</v>
      </c>
      <c r="E603" s="228" t="str">
        <f>VLOOKUP(D603,'PLAN COMPTABLE'!$C:$D,2,0)</f>
        <v>Charge</v>
      </c>
      <c r="F603" s="227"/>
      <c r="G603" s="229"/>
      <c r="H603" s="227" t="s">
        <v>140</v>
      </c>
      <c r="I603" s="230">
        <v>34</v>
      </c>
      <c r="J603" s="231" t="s">
        <v>501</v>
      </c>
    </row>
    <row r="604" spans="1:10" ht="12.5" x14ac:dyDescent="0.35">
      <c r="A604" s="224">
        <v>516</v>
      </c>
      <c r="B604" s="225">
        <v>46065</v>
      </c>
      <c r="C604" s="226" t="str">
        <f>LOOKUP(B604,'HIDDEN DATA'!$A:$B,'HIDDEN DATA'!$C:$C)</f>
        <v>2025-2026</v>
      </c>
      <c r="D604" s="227" t="s">
        <v>291</v>
      </c>
      <c r="E604" s="228" t="str">
        <f>VLOOKUP(D604,'PLAN COMPTABLE'!$C:$D,2,0)</f>
        <v>Charge</v>
      </c>
      <c r="F604" s="227"/>
      <c r="G604" s="229"/>
      <c r="H604" s="227"/>
      <c r="I604" s="230">
        <v>75.739999999999995</v>
      </c>
      <c r="J604" s="231" t="s">
        <v>502</v>
      </c>
    </row>
  </sheetData>
  <sheetProtection formatCells="0" formatColumns="0" formatRows="0" insertColumns="0" insertRows="0" insertHyperlinks="0" deleteColumns="0" deleteRows="0" sort="0" autoFilter="0" pivotTables="0"/>
  <phoneticPr fontId="11" type="noConversion"/>
  <dataValidations xWindow="835" yWindow="381" count="13">
    <dataValidation type="decimal" operator="greaterThanOrEqual" allowBlank="1" showInputMessage="1" showErrorMessage="1" sqref="I4 K6:K1048576">
      <formula1>0</formula1>
    </dataValidation>
    <dataValidation allowBlank="1" showInputMessage="1" showErrorMessage="1" prompt="Calcul automatique. NE PAS TOUCHER." sqref="C5"/>
    <dataValidation allowBlank="1" showInputMessage="1" showErrorMessage="1" prompt="Cellule automatique. NE PAS TOUCHER." sqref="E5"/>
    <dataValidation type="list" showInputMessage="1" showErrorMessage="1" prompt="Sélectionner le type de transaction." sqref="F5:F323">
      <formula1>"Comptant, Chèque, Carte de crédit, Carte de débit"</formula1>
    </dataValidation>
    <dataValidation type="list" showInputMessage="1" showErrorMessage="1" prompt="Sélectionner le type de transaction." sqref="F324">
      <formula1>"Comptant, Chèque, Carte de crédit, Carte de débit,Virement"</formula1>
    </dataValidation>
    <dataValidation type="list" allowBlank="1" showInputMessage="1" showErrorMessage="1" prompt="Sélectionner le type de transaction." sqref="F325:F354">
      <formula1>"Comptant, Chèque, Carte de crédit, Carte de débit,Virement"</formula1>
    </dataValidation>
    <dataValidation allowBlank="1" showInputMessage="1" showErrorMessage="1" prompt="Cette description vous sera utile pour retrouver les revenus et les dépenses associés à une activité particulière. Utilisez des mots-clic (#)." sqref="J5:J438 J482 J540"/>
    <dataValidation allowBlank="1" showInputMessage="1" showErrorMessage="1" prompt="Pour un paiement de facture, inscrivez la date de la facturation._x000a_Pour un revenu, inscrivez la date où ce revenus à été perçu." sqref="B5:B438"/>
    <dataValidation type="decimal" operator="greaterThanOrEqual" allowBlank="1" showInputMessage="1" showErrorMessage="1" prompt="À remplir" sqref="I5:I438">
      <formula1>0</formula1>
    </dataValidation>
    <dataValidation type="list" showInputMessage="1" showErrorMessage="1" prompt="Chèque émit sera considéré comme &quot;En cours&quot; jusqu'à que celui-ci soit encaissé. L'argent comptant sera également considéré comme &quot;À déposer&quot; jusqu'à son dépôt à la Caisse." sqref="H5:H604">
      <formula1>"En cours, À déposer, Complétée"</formula1>
    </dataValidation>
    <dataValidation allowBlank="1" showInputMessage="1" showErrorMessage="1" prompt="À remplir si le type de transaction est un &quot;chèque&quot;." sqref="G5:G604"/>
    <dataValidation allowBlank="1" showInputMessage="1" showErrorMessage="1" prompt="Pour ajouter une nouvelle transaction, inscrivez un numéro de transaction unique." sqref="A5:A604"/>
    <dataValidation type="date" showInputMessage="1" showErrorMessage="1" sqref="C6:C1048576">
      <formula1>42491</formula1>
      <formula2>42855</formula2>
    </dataValidation>
  </dataValidations>
  <printOptions horizontalCentered="1"/>
  <pageMargins left="0.5" right="0.5" top="0.5" bottom="0.5" header="0" footer="0.3"/>
  <pageSetup scale="64" fitToHeight="0" orientation="landscape" r:id="rId1"/>
  <headerFooter>
    <oddFooter>&amp;C&amp;"Arial,Regular"&amp;8&amp;K000000Journal des transactions_x000D_Page &amp;P de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835" yWindow="381" count="4">
        <x14:dataValidation type="list" allowBlank="1" showInputMessage="1" showErrorMessage="1" prompt="Sélectionnez le compte approprié. Les comptes 4000 correspondent aux comptes de revenus et 5000 aux dépenses.">
          <x14:formula1>
            <xm:f>'PLAN COMPTABLE'!$C$6:$C$77</xm:f>
          </x14:formula1>
          <xm:sqref>D5:D33</xm:sqref>
        </x14:dataValidation>
        <x14:dataValidation type="list" allowBlank="1" showInputMessage="1" showErrorMessage="1" prompt="Sélectionnez le compte approprié. Les comptes 4000 correspondent aux comptes de revenus et 5000 aux dépenses.">
          <x14:formula1>
            <xm:f>'PLAN COMPTABLE'!$C$5:$C$77</xm:f>
          </x14:formula1>
          <xm:sqref>D34:D368</xm:sqref>
        </x14:dataValidation>
        <x14:dataValidation type="list" allowBlank="1" showInputMessage="1" showErrorMessage="1">
          <x14:formula1>
            <xm:f>'HIDDEN DATA'!$C$2:$C$10</xm:f>
          </x14:formula1>
          <xm:sqref>B4</xm:sqref>
        </x14:dataValidation>
        <x14:dataValidation type="list" allowBlank="1" showInputMessage="1" showErrorMessage="1">
          <x14:formula1>
            <xm:f>'PLAN COMPTABLE'!$C$6:$C$270</xm:f>
          </x14:formula1>
          <xm:sqref>E6:E1048576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rgb="FF00B050"/>
  </sheetPr>
  <dimension ref="A1:AY127"/>
  <sheetViews>
    <sheetView zoomScaleNormal="100" workbookViewId="0">
      <pane xSplit="1" ySplit="8" topLeftCell="P95" activePane="bottomRight" state="frozen"/>
      <selection pane="topRight" activeCell="B1" sqref="B1"/>
      <selection pane="bottomLeft" activeCell="A9" sqref="A9"/>
      <selection pane="bottomRight" activeCell="A112" sqref="A112:XFD112"/>
    </sheetView>
  </sheetViews>
  <sheetFormatPr defaultColWidth="10.83203125" defaultRowHeight="12.5" x14ac:dyDescent="0.25"/>
  <cols>
    <col min="1" max="1" width="47.75" style="34" customWidth="1"/>
    <col min="2" max="2" width="13.58203125" style="47" customWidth="1"/>
    <col min="3" max="3" width="2.33203125" style="41" customWidth="1"/>
    <col min="4" max="4" width="12.58203125" style="47" customWidth="1"/>
    <col min="5" max="5" width="2.33203125" style="41" customWidth="1"/>
    <col min="6" max="6" width="13.33203125" style="47" customWidth="1"/>
    <col min="7" max="7" width="2.33203125" style="47" customWidth="1"/>
    <col min="8" max="8" width="2.33203125" style="41" customWidth="1"/>
    <col min="9" max="9" width="11.58203125" style="47" customWidth="1"/>
    <col min="10" max="10" width="2.33203125" style="41" customWidth="1"/>
    <col min="11" max="11" width="11.58203125" style="47" customWidth="1"/>
    <col min="12" max="12" width="2.33203125" style="41" customWidth="1"/>
    <col min="13" max="13" width="11.58203125" style="47" customWidth="1"/>
    <col min="14" max="14" width="3.33203125" style="41" customWidth="1"/>
    <col min="15" max="19" width="10.83203125" style="41" customWidth="1"/>
    <col min="20" max="20" width="2.58203125" style="41" customWidth="1"/>
    <col min="21" max="21" width="14.58203125" style="186" customWidth="1"/>
    <col min="22" max="22" width="2.75" style="41" customWidth="1"/>
    <col min="23" max="23" width="12.33203125" style="41" customWidth="1"/>
    <col min="24" max="24" width="2.83203125" style="41" customWidth="1"/>
    <col min="25" max="25" width="12.33203125" style="41" customWidth="1"/>
    <col min="26" max="26" width="2.75" style="41" customWidth="1"/>
    <col min="27" max="27" width="12.25" style="41" customWidth="1"/>
    <col min="28" max="28" width="4.25" style="41" customWidth="1"/>
    <col min="29" max="29" width="12.75" style="41" customWidth="1"/>
    <col min="30" max="30" width="4.5" style="41" customWidth="1"/>
    <col min="31" max="31" width="10.83203125" style="41" customWidth="1"/>
    <col min="32" max="32" width="12.25" style="41" customWidth="1"/>
    <col min="33" max="33" width="4.25" style="41" customWidth="1"/>
    <col min="34" max="34" width="12.75" style="41" customWidth="1"/>
    <col min="35" max="35" width="4.5" style="41" customWidth="1"/>
    <col min="36" max="36" width="14.08203125" style="41" customWidth="1"/>
    <col min="37" max="37" width="12.25" style="41" customWidth="1"/>
    <col min="38" max="38" width="4.25" style="41" customWidth="1"/>
    <col min="39" max="39" width="12.75" style="41" customWidth="1"/>
    <col min="40" max="40" width="4.5" style="41" customWidth="1"/>
    <col min="41" max="41" width="14.08203125" style="41" customWidth="1"/>
    <col min="42" max="42" width="12.33203125" style="41" customWidth="1"/>
    <col min="43" max="43" width="4.25" style="41" customWidth="1"/>
    <col min="44" max="44" width="12.75" style="41" customWidth="1"/>
    <col min="45" max="45" width="4.5" style="41" customWidth="1"/>
    <col min="46" max="46" width="14.08203125" style="41" customWidth="1"/>
    <col min="47" max="47" width="12.33203125" style="41" customWidth="1"/>
    <col min="48" max="48" width="4.25" style="41" customWidth="1"/>
    <col min="49" max="49" width="12.75" style="41" customWidth="1"/>
    <col min="50" max="50" width="4.5" style="41" customWidth="1"/>
    <col min="51" max="51" width="14.08203125" style="41" customWidth="1"/>
    <col min="52" max="16384" width="10.83203125" style="41"/>
  </cols>
  <sheetData>
    <row r="1" spans="1:51" s="28" customFormat="1" ht="18" x14ac:dyDescent="0.25">
      <c r="A1" s="27" t="str">
        <f>INFORMATION!D3</f>
        <v>ASSOCIATION DES ÉTUDIANTS ET ÉTUDIANTES EN PHILOSOPHIE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89"/>
      <c r="V1" s="167"/>
      <c r="W1" s="167"/>
      <c r="X1" s="167"/>
      <c r="Y1" s="167"/>
      <c r="Z1" s="167"/>
      <c r="AA1" s="167"/>
      <c r="AB1" s="167"/>
      <c r="AC1" s="167"/>
      <c r="AD1" s="167"/>
      <c r="AE1" s="167"/>
      <c r="AF1" s="167"/>
      <c r="AG1" s="167"/>
      <c r="AH1" s="167"/>
      <c r="AI1" s="167"/>
      <c r="AJ1" s="167"/>
      <c r="AK1" s="167"/>
      <c r="AL1" s="167"/>
      <c r="AM1" s="167"/>
      <c r="AN1" s="167"/>
      <c r="AO1" s="167"/>
      <c r="AP1" s="167"/>
      <c r="AQ1" s="167"/>
      <c r="AR1" s="167"/>
      <c r="AS1" s="167"/>
      <c r="AT1" s="167"/>
      <c r="AU1" s="167"/>
      <c r="AV1" s="167"/>
      <c r="AW1" s="167"/>
      <c r="AX1" s="167"/>
      <c r="AY1" s="167"/>
    </row>
    <row r="2" spans="1:51" s="28" customFormat="1" ht="15.5" x14ac:dyDescent="0.25">
      <c r="A2" s="12" t="s">
        <v>487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89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67"/>
      <c r="AK2" s="167"/>
      <c r="AL2" s="167"/>
      <c r="AM2" s="167"/>
      <c r="AN2" s="167"/>
      <c r="AO2" s="167"/>
      <c r="AP2" s="167"/>
      <c r="AQ2" s="167"/>
      <c r="AR2" s="167"/>
      <c r="AS2" s="167"/>
      <c r="AT2" s="167"/>
      <c r="AU2" s="167"/>
      <c r="AV2" s="167"/>
      <c r="AW2" s="167"/>
      <c r="AX2" s="167"/>
      <c r="AY2" s="167"/>
    </row>
    <row r="3" spans="1:51" x14ac:dyDescent="0.25">
      <c r="B3" s="40"/>
      <c r="D3" s="40"/>
      <c r="F3" s="40"/>
      <c r="G3" s="40"/>
      <c r="I3" s="40"/>
      <c r="K3" s="40"/>
      <c r="M3" s="40"/>
      <c r="U3" s="190"/>
    </row>
    <row r="4" spans="1:51" x14ac:dyDescent="0.25">
      <c r="B4" s="40"/>
      <c r="D4" s="40"/>
      <c r="F4" s="40"/>
      <c r="G4" s="40"/>
      <c r="I4" s="40"/>
      <c r="K4" s="40"/>
      <c r="M4" s="40"/>
      <c r="U4" s="190"/>
    </row>
    <row r="5" spans="1:51" s="11" customFormat="1" ht="15.5" x14ac:dyDescent="0.35">
      <c r="A5" s="10"/>
      <c r="B5" s="250" t="s">
        <v>97</v>
      </c>
      <c r="C5" s="250"/>
      <c r="D5" s="250"/>
      <c r="E5" s="250"/>
      <c r="F5" s="250"/>
      <c r="G5" s="13"/>
      <c r="I5" s="250" t="s">
        <v>98</v>
      </c>
      <c r="J5" s="250"/>
      <c r="K5" s="250"/>
      <c r="L5" s="250"/>
      <c r="M5" s="250"/>
      <c r="N5" s="13"/>
      <c r="O5" s="250" t="s">
        <v>99</v>
      </c>
      <c r="P5" s="250"/>
      <c r="Q5" s="250"/>
      <c r="R5" s="250"/>
      <c r="S5" s="250"/>
      <c r="U5" s="249" t="s">
        <v>100</v>
      </c>
      <c r="V5" s="249"/>
      <c r="W5" s="249"/>
      <c r="X5" s="249"/>
      <c r="Y5" s="249"/>
      <c r="AA5" s="249" t="s">
        <v>101</v>
      </c>
      <c r="AB5" s="249"/>
      <c r="AC5" s="249"/>
      <c r="AD5" s="249"/>
      <c r="AE5" s="249"/>
      <c r="AF5" s="249" t="s">
        <v>102</v>
      </c>
      <c r="AG5" s="249"/>
      <c r="AH5" s="249"/>
      <c r="AI5" s="249"/>
      <c r="AJ5" s="249"/>
      <c r="AK5" s="249" t="s">
        <v>103</v>
      </c>
      <c r="AL5" s="249"/>
      <c r="AM5" s="249"/>
      <c r="AN5" s="249"/>
      <c r="AO5" s="249"/>
      <c r="AP5" s="249" t="s">
        <v>104</v>
      </c>
      <c r="AQ5" s="249"/>
      <c r="AR5" s="249"/>
      <c r="AS5" s="249"/>
      <c r="AT5" s="249"/>
      <c r="AU5" s="249" t="s">
        <v>105</v>
      </c>
      <c r="AV5" s="249"/>
      <c r="AW5" s="249"/>
      <c r="AX5" s="249"/>
      <c r="AY5" s="249"/>
    </row>
    <row r="6" spans="1:51" x14ac:dyDescent="0.25">
      <c r="B6" s="42"/>
      <c r="D6" s="42"/>
      <c r="F6" s="42"/>
      <c r="G6" s="43"/>
      <c r="I6" s="42"/>
      <c r="K6" s="42"/>
      <c r="M6" s="42"/>
      <c r="N6" s="43"/>
      <c r="O6" s="42"/>
      <c r="Q6" s="42"/>
      <c r="S6" s="42"/>
    </row>
    <row r="7" spans="1:51" s="45" customFormat="1" ht="13" x14ac:dyDescent="0.3">
      <c r="A7" s="29"/>
      <c r="B7" s="44" t="s">
        <v>488</v>
      </c>
      <c r="D7" s="44" t="s">
        <v>489</v>
      </c>
      <c r="F7" s="44" t="s">
        <v>490</v>
      </c>
      <c r="G7" s="46"/>
      <c r="I7" s="44" t="s">
        <v>488</v>
      </c>
      <c r="K7" s="44" t="s">
        <v>489</v>
      </c>
      <c r="M7" s="44" t="s">
        <v>490</v>
      </c>
      <c r="N7" s="46"/>
      <c r="O7" s="44" t="s">
        <v>488</v>
      </c>
      <c r="Q7" s="44" t="s">
        <v>489</v>
      </c>
      <c r="S7" s="44" t="s">
        <v>490</v>
      </c>
      <c r="U7" s="187" t="s">
        <v>488</v>
      </c>
      <c r="W7" s="45" t="s">
        <v>489</v>
      </c>
      <c r="Y7" s="45" t="s">
        <v>490</v>
      </c>
      <c r="AA7" s="187" t="s">
        <v>488</v>
      </c>
      <c r="AC7" s="45" t="s">
        <v>489</v>
      </c>
      <c r="AE7" s="45" t="s">
        <v>490</v>
      </c>
      <c r="AF7" s="187" t="s">
        <v>488</v>
      </c>
      <c r="AH7" s="45" t="s">
        <v>489</v>
      </c>
      <c r="AJ7" s="45" t="s">
        <v>490</v>
      </c>
      <c r="AK7" s="187" t="s">
        <v>488</v>
      </c>
      <c r="AM7" s="45" t="s">
        <v>489</v>
      </c>
      <c r="AO7" s="45" t="s">
        <v>490</v>
      </c>
      <c r="AP7" s="187" t="s">
        <v>488</v>
      </c>
      <c r="AR7" s="45" t="s">
        <v>489</v>
      </c>
      <c r="AT7" s="45" t="s">
        <v>490</v>
      </c>
      <c r="AU7" s="187" t="s">
        <v>488</v>
      </c>
      <c r="AW7" s="45" t="s">
        <v>489</v>
      </c>
      <c r="AY7" s="45" t="s">
        <v>490</v>
      </c>
    </row>
    <row r="8" spans="1:51" x14ac:dyDescent="0.25">
      <c r="B8" s="42"/>
      <c r="D8" s="42"/>
      <c r="F8" s="42"/>
      <c r="G8" s="43"/>
      <c r="I8" s="42"/>
      <c r="K8" s="42"/>
      <c r="M8" s="42"/>
      <c r="N8" s="43"/>
      <c r="O8" s="42"/>
      <c r="Q8" s="42"/>
      <c r="S8" s="42"/>
      <c r="AA8" s="186"/>
      <c r="AF8" s="186"/>
      <c r="AK8" s="186"/>
      <c r="AP8" s="186"/>
      <c r="AU8" s="186"/>
    </row>
    <row r="9" spans="1:51" s="11" customFormat="1" ht="15.5" x14ac:dyDescent="0.35">
      <c r="A9" s="113" t="s">
        <v>106</v>
      </c>
      <c r="B9" s="135"/>
      <c r="C9" s="115"/>
      <c r="D9" s="135"/>
      <c r="E9" s="115"/>
      <c r="F9" s="135"/>
      <c r="G9" s="136"/>
      <c r="H9" s="115"/>
      <c r="I9" s="135"/>
      <c r="J9" s="115"/>
      <c r="K9" s="135"/>
      <c r="L9" s="115"/>
      <c r="M9" s="135"/>
      <c r="N9" s="136"/>
      <c r="O9" s="135"/>
      <c r="P9" s="115"/>
      <c r="Q9" s="135"/>
      <c r="R9" s="115"/>
      <c r="S9" s="135"/>
      <c r="T9" s="115"/>
      <c r="U9" s="188"/>
      <c r="V9" s="115"/>
      <c r="W9" s="115"/>
      <c r="X9" s="115"/>
      <c r="Y9" s="115"/>
      <c r="AA9" s="188"/>
      <c r="AB9" s="115"/>
      <c r="AC9" s="115"/>
      <c r="AD9" s="115"/>
      <c r="AE9" s="115"/>
      <c r="AF9" s="188"/>
      <c r="AG9" s="115"/>
      <c r="AH9" s="115"/>
      <c r="AI9" s="115"/>
      <c r="AJ9" s="115"/>
      <c r="AK9" s="188"/>
      <c r="AL9" s="115"/>
      <c r="AM9" s="115"/>
      <c r="AN9" s="115"/>
      <c r="AO9" s="115"/>
      <c r="AP9" s="188"/>
      <c r="AQ9" s="115"/>
      <c r="AR9" s="115"/>
      <c r="AS9" s="115"/>
      <c r="AT9" s="115"/>
      <c r="AU9" s="188"/>
      <c r="AV9" s="115"/>
      <c r="AW9" s="115"/>
      <c r="AX9" s="115"/>
      <c r="AY9" s="115"/>
    </row>
    <row r="10" spans="1:51" x14ac:dyDescent="0.25">
      <c r="G10" s="48"/>
      <c r="N10" s="48"/>
      <c r="O10" s="47"/>
      <c r="Q10" s="47"/>
      <c r="S10" s="47"/>
      <c r="AA10" s="186"/>
      <c r="AF10" s="186"/>
      <c r="AK10" s="186"/>
      <c r="AP10" s="186"/>
      <c r="AU10" s="186"/>
    </row>
    <row r="11" spans="1:51" ht="13" x14ac:dyDescent="0.25">
      <c r="A11" s="30" t="s">
        <v>107</v>
      </c>
      <c r="B11" s="49"/>
      <c r="D11" s="49"/>
      <c r="F11" s="49"/>
      <c r="G11" s="50"/>
      <c r="I11" s="49"/>
      <c r="K11" s="49"/>
      <c r="M11" s="49"/>
      <c r="N11" s="50"/>
      <c r="O11" s="49"/>
      <c r="Q11" s="49"/>
      <c r="S11" s="49"/>
      <c r="AA11" s="186"/>
      <c r="AF11" s="186"/>
      <c r="AK11" s="186"/>
      <c r="AP11" s="186"/>
      <c r="AU11" s="186"/>
    </row>
    <row r="12" spans="1:51" x14ac:dyDescent="0.25">
      <c r="A12" s="37" t="str">
        <f>'PLAN COMPTABLE'!C5</f>
        <v>4100 - Solde reporté au début</v>
      </c>
      <c r="B12" s="147">
        <f>SUMIFS(JOURNAL!$I:$I,JOURNAL!$D:$D,$A12,JOURNAL!$C:$C,B$5)</f>
        <v>5573.3</v>
      </c>
      <c r="D12" s="147">
        <f>INDEX(BUDGET!$A:$F,MATCH($A12,BUDGET!$A:$A,0),MATCH($B$5,BUDGET!$5:$5,0))</f>
        <v>5573.3</v>
      </c>
      <c r="F12" s="147">
        <f t="shared" ref="F12:F20" si="0">B12-D12</f>
        <v>0</v>
      </c>
      <c r="G12" s="52"/>
      <c r="I12" s="51">
        <f>SUMIFS(JOURNAL!$I:$I,JOURNAL!$D:$D,$A12,JOURNAL!$C:$C,I$5)</f>
        <v>2502.65</v>
      </c>
      <c r="K12" s="51">
        <f>INDEX(BUDGET!$A:$H,MATCH($A12,BUDGET!$A:$A,0),MATCH($I$5,BUDGET!$5:$5,0))</f>
        <v>2521.5500000000002</v>
      </c>
      <c r="M12" s="51">
        <f t="shared" ref="M12:M20" si="1">I12-K12</f>
        <v>-18.900000000000091</v>
      </c>
      <c r="N12" s="52"/>
      <c r="O12" s="51">
        <v>5671</v>
      </c>
      <c r="Q12" s="51">
        <f>INDEX(BUDGET!$A:$F,MATCH($A12,BUDGET!$A:$A,0),MATCH($O$5,BUDGET!$5:$5,0))</f>
        <v>5670.9</v>
      </c>
      <c r="S12" s="51">
        <f t="shared" ref="S12:S20" si="2">O12-Q12</f>
        <v>0.1000000000003638</v>
      </c>
      <c r="U12" s="186">
        <f>SUMIFS(JOURNAL!$I:$I,JOURNAL!$D:$D,$A12,JOURNAL!$C:$C,U$5)</f>
        <v>0</v>
      </c>
      <c r="W12" s="34">
        <f>INDEX(BUDGET!$A:$H,MATCH($A12,BUDGET!$A:$A,0),MATCH($U$5,BUDGET!$5:$5,0))</f>
        <v>5539.3</v>
      </c>
      <c r="Y12" s="41">
        <f>U12-W12</f>
        <v>-5539.3</v>
      </c>
      <c r="AA12" s="186">
        <f>SUMIFS(JOURNAL!$I:$I,JOURNAL!$D:$D,$A12,JOURNAL!$C:$C,AA$5)</f>
        <v>0</v>
      </c>
      <c r="AC12" s="34">
        <f>INDEX(BUDGET!$A:$J,MATCH($A12,BUDGET!$A:$A,0),MATCH($AA$5,BUDGET!$5:$5,0))</f>
        <v>11399.42</v>
      </c>
      <c r="AE12" s="41">
        <f>AA12-AC12</f>
        <v>-11399.42</v>
      </c>
      <c r="AF12" s="186">
        <f>SUMIFS(JOURNAL!$I:$I,JOURNAL!$D:$D,$A12,JOURNAL!$C:$C,AF$5)</f>
        <v>0</v>
      </c>
      <c r="AH12" s="34">
        <f>INDEX(BUDGET!$A:$L,MATCH(A12,BUDGET!$A:$A,0),MATCH($AF$5,BUDGET!$5:$5,0))</f>
        <v>14362.58</v>
      </c>
      <c r="AJ12" s="41">
        <f>AF12-AH12</f>
        <v>-14362.58</v>
      </c>
      <c r="AK12" s="186">
        <f>SUMIFS(JOURNAL!$I:$I,JOURNAL!$D:$D,$A12,JOURNAL!$C:$C,AK$5)</f>
        <v>0</v>
      </c>
      <c r="AM12" s="34">
        <f>INDEX(BUDGET!$A:$N,MATCH(A12,BUDGET!$A:$A,0),MATCH($AK$5,BUDGET!$5:$5,0))</f>
        <v>14490.68</v>
      </c>
      <c r="AO12" s="41">
        <f>AK12-AM12</f>
        <v>-14490.68</v>
      </c>
      <c r="AP12" s="186">
        <f>SUMIFS(JOURNAL!$I:$I,JOURNAL!$D:$D,$A12,JOURNAL!$C:$C,AP$5)</f>
        <v>0</v>
      </c>
      <c r="AR12" s="34">
        <f>INDEX(BUDGET!$A:$P,MATCH($A12,BUDGET!$A:$A,0),MATCH($AP$5,BUDGET!$5:$5,0))</f>
        <v>15360</v>
      </c>
      <c r="AT12" s="41">
        <f>AP12-AR12</f>
        <v>-15360</v>
      </c>
      <c r="AU12" s="186">
        <f>SUMIFS(JOURNAL!$I:$I,JOURNAL!$D:$D,$A12,JOURNAL!$C:$C,AU$5)</f>
        <v>0</v>
      </c>
      <c r="AW12" s="34">
        <f>INDEX(BUDGET!$A:$R,MATCH($A12,BUDGET!$A:$A,0),MATCH($AU$5,BUDGET!$5:$5,0))</f>
        <v>15287</v>
      </c>
      <c r="AY12" s="41">
        <f>AU12-AW12</f>
        <v>-15287</v>
      </c>
    </row>
    <row r="13" spans="1:51" x14ac:dyDescent="0.25">
      <c r="A13" s="37" t="str">
        <f>'PLAN COMPTABLE'!C6</f>
        <v>4110 - Cotisations étudiantes (automne)</v>
      </c>
      <c r="B13" s="147">
        <f>SUMIFS(JOURNAL!$I:$I,JOURNAL!$D:$D,$A13,JOURNAL!$C:$C,B$5)</f>
        <v>4140</v>
      </c>
      <c r="D13" s="147">
        <f>INDEX(BUDGET!$A:$F,MATCH($A13,BUDGET!$A:$A,0),MATCH($B$5,BUDGET!$5:$5,0))</f>
        <v>2614.5</v>
      </c>
      <c r="F13" s="147">
        <f t="shared" si="0"/>
        <v>1525.5</v>
      </c>
      <c r="G13" s="52"/>
      <c r="I13" s="51">
        <f>SUMIFS(JOURNAL!$I:$I,JOURNAL!$D:$D,$A13,JOURNAL!$C:$C,I$5)</f>
        <v>4275</v>
      </c>
      <c r="K13" s="51">
        <f>INDEX(BUDGET!$A:$F,MATCH($A13,BUDGET!$A:$A,0),MATCH($I$5,BUDGET!$5:$5,0))</f>
        <v>5205</v>
      </c>
      <c r="M13" s="51">
        <f t="shared" si="1"/>
        <v>-930</v>
      </c>
      <c r="N13" s="52"/>
      <c r="O13" s="51">
        <f>SUMIFS(JOURNAL!$I:$I,JOURNAL!$D:$D,$A13,JOURNAL!$C:$C,O$5)</f>
        <v>2488.5</v>
      </c>
      <c r="Q13" s="51">
        <v>2488.5</v>
      </c>
      <c r="S13" s="51">
        <f t="shared" si="2"/>
        <v>0</v>
      </c>
      <c r="U13" s="186">
        <f>SUMIFS(JOURNAL!$I:$I,JOURNAL!$D:$D,$A13,JOURNAL!$C:$C,U$5)</f>
        <v>2572.5</v>
      </c>
      <c r="W13" s="167">
        <f>INDEX(BUDGET!$A:$H,MATCH($A13,BUDGET!$A:$A,0),MATCH($U$5,BUDGET!$5:$5,0))</f>
        <v>2400</v>
      </c>
      <c r="Y13" s="41">
        <f t="shared" ref="Y13:Y19" si="3">U13-W13</f>
        <v>172.5</v>
      </c>
      <c r="AA13" s="186">
        <f>SUMIFS(JOURNAL!$I:$I,JOURNAL!$D:$D,$A13,JOURNAL!$C:$C,AA$5)</f>
        <v>3685.5</v>
      </c>
      <c r="AC13" s="34">
        <f>INDEX(BUDGET!$A:$J,MATCH($A13,BUDGET!$A:$A,0),MATCH($AA$5,BUDGET!$5:$5,0))</f>
        <v>2500</v>
      </c>
      <c r="AE13" s="41">
        <f t="shared" ref="AE13:AE19" si="4">AA13-AC13</f>
        <v>1185.5</v>
      </c>
      <c r="AF13" s="186">
        <f>SUMIFS(JOURNAL!$I:$I,JOURNAL!$D:$D,$A13,JOURNAL!$C:$C,AF$5)</f>
        <v>4615.5</v>
      </c>
      <c r="AH13" s="34">
        <f>INDEX(BUDGET!$A:$L,MATCH(A13,BUDGET!$A:$A,0),MATCH($AF$5,BUDGET!$5:$5,0))</f>
        <v>2500</v>
      </c>
      <c r="AJ13" s="41">
        <f t="shared" ref="AJ13:AJ19" si="5">AF13-AH13</f>
        <v>2115.5</v>
      </c>
      <c r="AK13" s="186">
        <f>SUMIFS(JOURNAL!$I:$I,JOURNAL!$D:$D,$A13,JOURNAL!$C:$C,AK$5)</f>
        <v>3088.5</v>
      </c>
      <c r="AM13" s="34">
        <f>INDEX(BUDGET!$A:$N,MATCH(A13,BUDGET!$A:$A,0),MATCH($AK$5,BUDGET!$5:$5,0))</f>
        <v>2500</v>
      </c>
      <c r="AO13" s="41">
        <f t="shared" ref="AO13:AO19" si="6">AK13-AM13</f>
        <v>588.5</v>
      </c>
      <c r="AP13" s="186">
        <f>SUMIFS(JOURNAL!$I:$I,JOURNAL!$D:$D,$A13,JOURNAL!$C:$C,AP$5)</f>
        <v>2986.5</v>
      </c>
      <c r="AR13" s="34">
        <f>INDEX(BUDGET!$A:$P,MATCH($A13,BUDGET!$A:$A,0),MATCH($AP$5,BUDGET!$5:$5,0))</f>
        <v>2500</v>
      </c>
      <c r="AT13" s="41">
        <f t="shared" ref="AT13:AT19" si="7">AP13-AR13</f>
        <v>486.5</v>
      </c>
      <c r="AU13" s="186">
        <f>SUMIFS(JOURNAL!$I:$I,JOURNAL!$D:$D,$A13,JOURNAL!$C:$C,AU$5)</f>
        <v>0</v>
      </c>
      <c r="AW13" s="34">
        <f>INDEX(BUDGET!$A:$R,MATCH($A13,BUDGET!$A:$A,0),MATCH($AU$5,BUDGET!$5:$5,0))</f>
        <v>2500</v>
      </c>
      <c r="AY13" s="41">
        <f t="shared" ref="AY13:AY19" si="8">AU13-AW13</f>
        <v>-2500</v>
      </c>
    </row>
    <row r="14" spans="1:51" x14ac:dyDescent="0.25">
      <c r="A14" s="37" t="str">
        <f>'PLAN COMPTABLE'!C7</f>
        <v>4111 - Cotisations étudiantes (hiver)</v>
      </c>
      <c r="B14" s="147">
        <f>SUMIFS(JOURNAL!$I:$I,JOURNAL!$D:$D,$A14,JOURNAL!$C:$C,B$5)</f>
        <v>3601.5</v>
      </c>
      <c r="D14" s="147">
        <f>INDEX(BUDGET!$A:$F,MATCH($A14,BUDGET!$A:$A,0),MATCH($B$5,BUDGET!$5:$5,0))</f>
        <v>2583</v>
      </c>
      <c r="F14" s="147">
        <f t="shared" si="0"/>
        <v>1018.5</v>
      </c>
      <c r="G14" s="52"/>
      <c r="I14" s="51">
        <f>SUMIFS(JOURNAL!$I:$I,JOURNAL!$D:$D,$A14,JOURNAL!$C:$C,I$5)</f>
        <v>3600</v>
      </c>
      <c r="K14" s="51">
        <f>INDEX(BUDGET!$A:$F,MATCH($A14,BUDGET!$A:$A,0),MATCH($I$5,BUDGET!$5:$5,0))</f>
        <v>3500</v>
      </c>
      <c r="M14" s="51">
        <f t="shared" si="1"/>
        <v>100</v>
      </c>
      <c r="N14" s="52"/>
      <c r="O14" s="51">
        <f>SUMIFS(JOURNAL!$I:$I,JOURNAL!$D:$D,$A14,JOURNAL!$C:$C,O$5)</f>
        <v>2698.5</v>
      </c>
      <c r="Q14" s="51">
        <v>3600.5</v>
      </c>
      <c r="S14" s="51">
        <f t="shared" si="2"/>
        <v>-902</v>
      </c>
      <c r="U14" s="186">
        <f>SUMIFS(JOURNAL!$I:$I,JOURNAL!$D:$D,$A14,JOURNAL!$C:$C,U$5)</f>
        <v>4576.5</v>
      </c>
      <c r="W14" s="167">
        <f>INDEX(BUDGET!$A:$H,MATCH($A14,BUDGET!$A:$A,0),MATCH($U$5,BUDGET!$5:$5,0))</f>
        <v>2500</v>
      </c>
      <c r="Y14" s="41">
        <f t="shared" si="3"/>
        <v>2076.5</v>
      </c>
      <c r="AA14" s="186">
        <f>SUMIFS(JOURNAL!$I:$I,JOURNAL!$D:$D,$A14,JOURNAL!$C:$C,AA$5)</f>
        <v>4343.5</v>
      </c>
      <c r="AC14" s="34">
        <f>INDEX(BUDGET!$A:$J,MATCH($A14,BUDGET!$A:$A,0),MATCH($AA$5,BUDGET!$5:$5,0))</f>
        <v>2500</v>
      </c>
      <c r="AE14" s="41">
        <f t="shared" si="4"/>
        <v>1843.5</v>
      </c>
      <c r="AF14" s="186">
        <f>SUMIFS(JOURNAL!$I:$I,JOURNAL!$D:$D,$A14,JOURNAL!$C:$C,AF$5)</f>
        <v>2005.5</v>
      </c>
      <c r="AH14" s="34">
        <f>INDEX(BUDGET!$A:$L,MATCH(A14,BUDGET!$A:$A,0),MATCH($AF$5,BUDGET!$5:$5,0))</f>
        <v>2500</v>
      </c>
      <c r="AJ14" s="41">
        <f t="shared" si="5"/>
        <v>-494.5</v>
      </c>
      <c r="AK14" s="186">
        <f>SUMIFS(JOURNAL!$I:$I,JOURNAL!$D:$D,$A14,JOURNAL!$C:$C,AK$5)</f>
        <v>3843.31</v>
      </c>
      <c r="AM14" s="34">
        <f>INDEX(BUDGET!$A:$N,MATCH(A14,BUDGET!$A:$A,0),MATCH($AK$5,BUDGET!$5:$5,0))</f>
        <v>2500</v>
      </c>
      <c r="AO14" s="41">
        <f t="shared" si="6"/>
        <v>1343.31</v>
      </c>
      <c r="AP14" s="186">
        <f>SUMIFS(JOURNAL!$I:$I,JOURNAL!$D:$D,$A14,JOURNAL!$C:$C,AP$5)</f>
        <v>2068.5</v>
      </c>
      <c r="AR14" s="34">
        <f>INDEX(BUDGET!$A:$P,MATCH($A14,BUDGET!$A:$A,0),MATCH($AP$5,BUDGET!$5:$5,0))</f>
        <v>2500</v>
      </c>
      <c r="AT14" s="41">
        <f t="shared" si="7"/>
        <v>-431.5</v>
      </c>
      <c r="AU14" s="186">
        <f>SUMIFS(JOURNAL!$I:$I,JOURNAL!$D:$D,$A14,JOURNAL!$C:$C,AU$5)</f>
        <v>0</v>
      </c>
      <c r="AW14" s="34">
        <f>INDEX(BUDGET!$A:$R,MATCH($A14,BUDGET!$A:$A,0),MATCH($AU$5,BUDGET!$5:$5,0))</f>
        <v>2500</v>
      </c>
      <c r="AY14" s="41">
        <f t="shared" si="8"/>
        <v>-2500</v>
      </c>
    </row>
    <row r="15" spans="1:51" x14ac:dyDescent="0.25">
      <c r="A15" s="37" t="str">
        <f>'PLAN COMPTABLE'!C8</f>
        <v>4112 - Cotisations étudiantes (été)</v>
      </c>
      <c r="B15" s="147">
        <f>SUMIFS(JOURNAL!$I:$I,JOURNAL!$D:$D,$A15,JOURNAL!$C:$C,B$5)</f>
        <v>2130</v>
      </c>
      <c r="D15" s="147">
        <f>INDEX(BUDGET!$A:$F,MATCH($A15,BUDGET!$A:$A,0),MATCH($B$5,BUDGET!$5:$5,0))</f>
        <v>1417.5</v>
      </c>
      <c r="F15" s="147">
        <f t="shared" si="0"/>
        <v>712.5</v>
      </c>
      <c r="G15" s="52"/>
      <c r="I15" s="51">
        <f>SUMIFS(JOURNAL!$I:$I,JOURNAL!$D:$D,$A15,JOURNAL!$C:$C,I$5)</f>
        <v>2937</v>
      </c>
      <c r="K15" s="51">
        <f>INDEX(BUDGET!$A:$F,MATCH($A15,BUDGET!$A:$A,0),MATCH($I$5,BUDGET!$5:$5,0))</f>
        <v>2000</v>
      </c>
      <c r="M15" s="51">
        <f t="shared" si="1"/>
        <v>937</v>
      </c>
      <c r="N15" s="52"/>
      <c r="O15" s="51">
        <f>SUMIFS(JOURNAL!$I:$I,JOURNAL!$D:$D,$A15,JOURNAL!$C:$C,O$5)</f>
        <v>0</v>
      </c>
      <c r="Q15" s="51">
        <v>2533.5</v>
      </c>
      <c r="S15" s="51">
        <f t="shared" si="2"/>
        <v>-2533.5</v>
      </c>
      <c r="U15" s="186">
        <f>SUMIFS(JOURNAL!$I:$I,JOURNAL!$D:$D,$A15,JOURNAL!$C:$C,U$5)</f>
        <v>1449</v>
      </c>
      <c r="W15" s="34">
        <f>INDEX(BUDGET!$A:$H,MATCH($A15,BUDGET!$A:$A,0),MATCH($U$5,BUDGET!$5:$5,0))</f>
        <v>2500</v>
      </c>
      <c r="Y15" s="41">
        <f t="shared" si="3"/>
        <v>-1051</v>
      </c>
      <c r="AA15" s="186">
        <f>SUMIFS(JOURNAL!$I:$I,JOURNAL!$D:$D,$A15,JOURNAL!$C:$C,AA$5)</f>
        <v>2676</v>
      </c>
      <c r="AC15" s="34">
        <f>INDEX(BUDGET!$A:$J,MATCH($A15,BUDGET!$A:$A,0),MATCH($AA$5,BUDGET!$5:$5,0))</f>
        <v>2500</v>
      </c>
      <c r="AE15" s="41">
        <f t="shared" si="4"/>
        <v>176</v>
      </c>
      <c r="AF15" s="186">
        <f>SUMIFS(JOURNAL!$I:$I,JOURNAL!$D:$D,$A15,JOURNAL!$C:$C,AF$5)</f>
        <v>3169.5</v>
      </c>
      <c r="AH15" s="34">
        <f>INDEX(BUDGET!$A:$L,MATCH(A15,BUDGET!$A:$A,0),MATCH($AF$5,BUDGET!$5:$5,0))</f>
        <v>2500</v>
      </c>
      <c r="AJ15" s="41">
        <f t="shared" si="5"/>
        <v>669.5</v>
      </c>
      <c r="AK15" s="186">
        <f>SUMIFS(JOURNAL!$I:$I,JOURNAL!$D:$D,$A15,JOURNAL!$C:$C,AK$5)</f>
        <v>1281</v>
      </c>
      <c r="AM15" s="34">
        <f>INDEX(BUDGET!$A:$N,MATCH(A15,BUDGET!$A:$A,0),MATCH($AK$5,BUDGET!$5:$5,0))</f>
        <v>2500</v>
      </c>
      <c r="AO15" s="41">
        <f t="shared" si="6"/>
        <v>-1219</v>
      </c>
      <c r="AP15" s="186">
        <f>SUMIFS(JOURNAL!$I:$I,JOURNAL!$D:$D,$A15,JOURNAL!$C:$C,AP$5)</f>
        <v>2896.5</v>
      </c>
      <c r="AR15" s="34">
        <f>INDEX(BUDGET!$A:$P,MATCH($A15,BUDGET!$A:$A,0),MATCH($AP$5,BUDGET!$5:$5,0))</f>
        <v>2500</v>
      </c>
      <c r="AT15" s="41">
        <f t="shared" si="7"/>
        <v>396.5</v>
      </c>
      <c r="AU15" s="186">
        <f>SUMIFS(JOURNAL!$I:$I,JOURNAL!$D:$D,$A15,JOURNAL!$C:$C,AU$5)</f>
        <v>0</v>
      </c>
      <c r="AW15" s="34">
        <f>INDEX(BUDGET!$A:$R,MATCH($A15,BUDGET!$A:$A,0),MATCH($AU$5,BUDGET!$5:$5,0))</f>
        <v>2500</v>
      </c>
      <c r="AY15" s="41">
        <f t="shared" si="8"/>
        <v>-2500</v>
      </c>
    </row>
    <row r="16" spans="1:51" x14ac:dyDescent="0.25">
      <c r="A16" s="37" t="str">
        <f>'PLAN COMPTABLE'!C9</f>
        <v>4113 - Cotisations étudiantes (remises antérieures)</v>
      </c>
      <c r="B16" s="147">
        <f>SUMIFS(JOURNAL!$I:$I,JOURNAL!$D:$D,$A16,JOURNAL!$C:$C,B$5)</f>
        <v>735</v>
      </c>
      <c r="D16" s="147">
        <f>INDEX(BUDGET!$A:$F,MATCH($A16,BUDGET!$A:$A,0),MATCH($B$5,BUDGET!$5:$5,0))</f>
        <v>4698.43</v>
      </c>
      <c r="F16" s="147">
        <f t="shared" si="0"/>
        <v>-3963.4300000000003</v>
      </c>
      <c r="G16" s="52"/>
      <c r="I16" s="51">
        <f>SUMIFS(JOURNAL!$I:$I,JOURNAL!$D:$D,$A16,JOURNAL!$C:$C,I$5)</f>
        <v>1900.5</v>
      </c>
      <c r="K16" s="51">
        <f>INDEX(BUDGET!$A:$F,MATCH($A16,BUDGET!$A:$A,0),MATCH($I$5,BUDGET!$5:$5,0))</f>
        <v>355</v>
      </c>
      <c r="M16" s="51">
        <f t="shared" si="1"/>
        <v>1545.5</v>
      </c>
      <c r="N16" s="52"/>
      <c r="O16" s="51">
        <f>SUMIFS(JOURNAL!$I:$I,JOURNAL!$D:$D,$A16,JOURNAL!$C:$C,O$5)</f>
        <v>2954.6</v>
      </c>
      <c r="Q16" s="51">
        <f>INDEX(BUDGET!$A:$F,MATCH($A16,BUDGET!$A:$A,0),MATCH($O$5,BUDGET!$5:$5,0))</f>
        <v>798</v>
      </c>
      <c r="S16" s="51">
        <f t="shared" si="2"/>
        <v>2156.6</v>
      </c>
      <c r="U16" s="186">
        <f>SUMIFS(JOURNAL!$I:$I,JOURNAL!$D:$D,$A16,JOURNAL!$C:$C,U$5)</f>
        <v>2407.5</v>
      </c>
      <c r="W16" s="167">
        <f>INDEX(BUDGET!$A:$H,MATCH($A16,BUDGET!$A:$A,0),MATCH($U$5,BUDGET!$5:$5,0))</f>
        <v>800</v>
      </c>
      <c r="Y16" s="41">
        <f t="shared" si="3"/>
        <v>1607.5</v>
      </c>
      <c r="AA16" s="186">
        <f>SUMIFS(JOURNAL!$I:$I,JOURNAL!$D:$D,$A16,JOURNAL!$C:$C,AA$5)</f>
        <v>0</v>
      </c>
      <c r="AC16" s="34">
        <f>INDEX(BUDGET!$A:$J,MATCH($A16,BUDGET!$A:$A,0),MATCH($AA$5,BUDGET!$5:$5,0))</f>
        <v>500</v>
      </c>
      <c r="AE16" s="41">
        <f t="shared" si="4"/>
        <v>-500</v>
      </c>
      <c r="AF16" s="186">
        <f>SUMIFS(JOURNAL!$I:$I,JOURNAL!$D:$D,$A16,JOURNAL!$C:$C,AF$5)</f>
        <v>0</v>
      </c>
      <c r="AH16" s="34">
        <f>INDEX(BUDGET!$A:$L,MATCH(A16,BUDGET!$A:$A,0),MATCH($AF$5,BUDGET!$5:$5,0))</f>
        <v>500</v>
      </c>
      <c r="AJ16" s="41">
        <f t="shared" si="5"/>
        <v>-500</v>
      </c>
      <c r="AK16" s="186">
        <f>SUMIFS(JOURNAL!$I:$I,JOURNAL!$D:$D,$A16,JOURNAL!$C:$C,AK$5)</f>
        <v>0</v>
      </c>
      <c r="AM16" s="34">
        <f>INDEX(BUDGET!$A:$N,MATCH(A16,BUDGET!$A:$A,0),MATCH($AK$5,BUDGET!$5:$5,0))</f>
        <v>500</v>
      </c>
      <c r="AO16" s="41">
        <f t="shared" si="6"/>
        <v>-500</v>
      </c>
      <c r="AP16" s="186">
        <f>SUMIFS(JOURNAL!$I:$I,JOURNAL!$D:$D,$A16,JOURNAL!$C:$C,AP$5)</f>
        <v>1267.5</v>
      </c>
      <c r="AR16" s="34">
        <f>INDEX(BUDGET!$A:$P,MATCH($A16,BUDGET!$A:$A,0),MATCH($AP$5,BUDGET!$5:$5,0))</f>
        <v>500</v>
      </c>
      <c r="AT16" s="41">
        <f t="shared" si="7"/>
        <v>767.5</v>
      </c>
      <c r="AU16" s="186">
        <f>SUMIFS(JOURNAL!$I:$I,JOURNAL!$D:$D,$A16,JOURNAL!$C:$C,AU$5)</f>
        <v>0</v>
      </c>
      <c r="AW16" s="34">
        <f>INDEX(BUDGET!$A:$R,MATCH($A16,BUDGET!$A:$A,0),MATCH($AU$5,BUDGET!$5:$5,0))</f>
        <v>500</v>
      </c>
      <c r="AY16" s="41">
        <f t="shared" si="8"/>
        <v>-500</v>
      </c>
    </row>
    <row r="17" spans="1:51" x14ac:dyDescent="0.25">
      <c r="A17" s="37" t="str">
        <f>'PLAN COMPTABLE'!C10</f>
        <v>4120 - Commandites</v>
      </c>
      <c r="B17" s="147">
        <f>SUMIFS(JOURNAL!$I:$I,JOURNAL!$D:$D,$A17,JOURNAL!$C:$C,B$5)</f>
        <v>0</v>
      </c>
      <c r="D17" s="147">
        <f>INDEX(BUDGET!$A:$F,MATCH($A17,BUDGET!$A:$A,0),MATCH($B$5,BUDGET!$5:$5,0))</f>
        <v>0</v>
      </c>
      <c r="F17" s="147">
        <f t="shared" si="0"/>
        <v>0</v>
      </c>
      <c r="G17" s="52"/>
      <c r="I17" s="51">
        <f>SUMIFS(JOURNAL!$I:$I,JOURNAL!$D:$D,$A17,JOURNAL!$C:$C,I$5)</f>
        <v>0</v>
      </c>
      <c r="K17" s="51">
        <f>INDEX(BUDGET!$A:$F,MATCH($A17,BUDGET!$A:$A,0),MATCH($I$5,BUDGET!$5:$5,0))</f>
        <v>0</v>
      </c>
      <c r="M17" s="51">
        <f t="shared" si="1"/>
        <v>0</v>
      </c>
      <c r="N17" s="52"/>
      <c r="O17" s="51">
        <f>SUMIFS(JOURNAL!$I:$I,JOURNAL!$D:$D,$A17,JOURNAL!$C:$C,O$5)</f>
        <v>0</v>
      </c>
      <c r="Q17" s="51">
        <f>INDEX(BUDGET!$A:$F,MATCH($A17,BUDGET!$A:$A,0),MATCH($O$5,BUDGET!$5:$5,0))</f>
        <v>0</v>
      </c>
      <c r="S17" s="51">
        <f t="shared" si="2"/>
        <v>0</v>
      </c>
      <c r="U17" s="186">
        <f>SUMIFS(JOURNAL!$I:$I,JOURNAL!$D:$D,$A17,JOURNAL!$C:$C,U$5)</f>
        <v>0</v>
      </c>
      <c r="W17" s="167">
        <f>INDEX(BUDGET!$A:$H,MATCH($A17,BUDGET!$A:$A,0),MATCH($U$5,BUDGET!$5:$5,0))</f>
        <v>0</v>
      </c>
      <c r="Y17" s="41">
        <f t="shared" si="3"/>
        <v>0</v>
      </c>
      <c r="AA17" s="186">
        <f>SUMIFS(JOURNAL!$I:$I,JOURNAL!$D:$D,$A17,JOURNAL!$C:$C,AA$5)</f>
        <v>0</v>
      </c>
      <c r="AC17" s="34">
        <f>INDEX(BUDGET!$A:$J,MATCH($A17,BUDGET!$A:$A,0),MATCH($AA$5,BUDGET!$5:$5,0))</f>
        <v>0</v>
      </c>
      <c r="AE17" s="41">
        <f t="shared" si="4"/>
        <v>0</v>
      </c>
      <c r="AF17" s="186">
        <f>SUMIFS(JOURNAL!$I:$I,JOURNAL!$D:$D,$A17,JOURNAL!$C:$C,AF$5)</f>
        <v>0</v>
      </c>
      <c r="AH17" s="34">
        <f>INDEX(BUDGET!$A:$L,MATCH(A17,BUDGET!$A:$A,0),MATCH($AF$5,BUDGET!$5:$5,0))</f>
        <v>0</v>
      </c>
      <c r="AJ17" s="41">
        <f t="shared" si="5"/>
        <v>0</v>
      </c>
      <c r="AK17" s="186">
        <f>SUMIFS(JOURNAL!$I:$I,JOURNAL!$D:$D,$A17,JOURNAL!$C:$C,AK$5)</f>
        <v>0</v>
      </c>
      <c r="AM17" s="34">
        <f>INDEX(BUDGET!$A:$N,MATCH(A17,BUDGET!$A:$A,0),MATCH($AK$5,BUDGET!$5:$5,0))</f>
        <v>0</v>
      </c>
      <c r="AO17" s="41">
        <f t="shared" si="6"/>
        <v>0</v>
      </c>
      <c r="AP17" s="186">
        <f>SUMIFS(JOURNAL!$I:$I,JOURNAL!$D:$D,$A17,JOURNAL!$C:$C,AP$5)</f>
        <v>0</v>
      </c>
      <c r="AR17" s="34">
        <f>INDEX(BUDGET!$A:$P,MATCH($A17,BUDGET!$A:$A,0),MATCH($AP$5,BUDGET!$5:$5,0))</f>
        <v>0</v>
      </c>
      <c r="AT17" s="41">
        <f t="shared" si="7"/>
        <v>0</v>
      </c>
      <c r="AU17" s="186">
        <f>SUMIFS(JOURNAL!$I:$I,JOURNAL!$D:$D,$A17,JOURNAL!$C:$C,AU$5)</f>
        <v>0</v>
      </c>
      <c r="AW17" s="34">
        <f>INDEX(BUDGET!$A:$R,MATCH($A17,BUDGET!$A:$A,0),MATCH($AU$5,BUDGET!$5:$5,0))</f>
        <v>0</v>
      </c>
      <c r="AY17" s="41">
        <f t="shared" si="8"/>
        <v>0</v>
      </c>
    </row>
    <row r="18" spans="1:51" x14ac:dyDescent="0.25">
      <c r="A18" s="37" t="str">
        <f>'PLAN COMPTABLE'!C11</f>
        <v>4130 - Bourses et subventions</v>
      </c>
      <c r="B18" s="147">
        <f>SUMIFS(JOURNAL!$I:$I,JOURNAL!$D:$D,$A18,JOURNAL!$C:$C,B$5)</f>
        <v>1078.28</v>
      </c>
      <c r="D18" s="147">
        <f>INDEX(BUDGET!$A:$F,MATCH($A18,BUDGET!$A:$A,0),MATCH($B$5,BUDGET!$5:$5,0))</f>
        <v>0</v>
      </c>
      <c r="F18" s="147">
        <f t="shared" si="0"/>
        <v>1078.28</v>
      </c>
      <c r="G18" s="52"/>
      <c r="I18" s="51">
        <f>SUMIFS(JOURNAL!$I:$I,JOURNAL!$D:$D,$A18,JOURNAL!$C:$C,I$5)</f>
        <v>2147.15</v>
      </c>
      <c r="K18" s="51">
        <f>INDEX(BUDGET!$A:$F,MATCH($A18,BUDGET!$A:$A,0),MATCH($I$5,BUDGET!$5:$5,0))</f>
        <v>2000</v>
      </c>
      <c r="M18" s="51">
        <f t="shared" si="1"/>
        <v>147.15000000000009</v>
      </c>
      <c r="N18" s="52"/>
      <c r="O18" s="51">
        <f>SUMIFS(JOURNAL!$I:$I,JOURNAL!$D:$D,$A18,JOURNAL!$C:$C,O$5)</f>
        <v>1300</v>
      </c>
      <c r="Q18" s="51">
        <v>1300</v>
      </c>
      <c r="S18" s="51">
        <f t="shared" si="2"/>
        <v>0</v>
      </c>
      <c r="U18" s="199">
        <f>SUMIFS(JOURNAL!$I:$I,JOURNAL!$D:$D,$A18,JOURNAL!$C:$C,U$5)</f>
        <v>0</v>
      </c>
      <c r="W18" s="167">
        <f>INDEX(BUDGET!$A:$H,MATCH($A18,BUDGET!$A:$A,0),MATCH($U$5,BUDGET!$5:$5,0))</f>
        <v>300</v>
      </c>
      <c r="Y18" s="41">
        <f t="shared" si="3"/>
        <v>-300</v>
      </c>
      <c r="AA18" s="199">
        <f>SUMIFS(JOURNAL!$I:$I,JOURNAL!$D:$D,$A18,JOURNAL!$C:$C,AA$5)</f>
        <v>0</v>
      </c>
      <c r="AC18" s="34">
        <f>INDEX(BUDGET!$A:$J,MATCH($A18,BUDGET!$A:$A,0),MATCH($AA$5,BUDGET!$5:$5,0))</f>
        <v>300</v>
      </c>
      <c r="AE18" s="41">
        <f t="shared" si="4"/>
        <v>-300</v>
      </c>
      <c r="AF18" s="199">
        <f>SUMIFS(JOURNAL!$I:$I,JOURNAL!$D:$D,$A18,JOURNAL!$C:$C,AF$5)</f>
        <v>0</v>
      </c>
      <c r="AH18" s="34">
        <f>INDEX(BUDGET!$A:$L,MATCH(A18,BUDGET!$A:$A,0),MATCH($AF$5,BUDGET!$5:$5,0))</f>
        <v>300</v>
      </c>
      <c r="AJ18" s="41">
        <f t="shared" si="5"/>
        <v>-300</v>
      </c>
      <c r="AK18" s="199">
        <f>SUMIFS(JOURNAL!$I:$I,JOURNAL!$D:$D,$A18,JOURNAL!$C:$C,AK$5)</f>
        <v>0</v>
      </c>
      <c r="AM18" s="34">
        <f>INDEX(BUDGET!$A:$N,MATCH(A18,BUDGET!$A:$A,0),MATCH($AK$5,BUDGET!$5:$5,0))</f>
        <v>300</v>
      </c>
      <c r="AO18" s="41">
        <f t="shared" si="6"/>
        <v>-300</v>
      </c>
      <c r="AP18" s="199">
        <f>SUMIFS(JOURNAL!$I:$I,JOURNAL!$D:$D,$A18,JOURNAL!$C:$C,AP$5)</f>
        <v>1300</v>
      </c>
      <c r="AR18" s="34">
        <f>INDEX(BUDGET!$A:$P,MATCH($A18,BUDGET!$A:$A,0),MATCH($AP$5,BUDGET!$5:$5,0))</f>
        <v>300</v>
      </c>
      <c r="AT18" s="41">
        <f t="shared" si="7"/>
        <v>1000</v>
      </c>
      <c r="AU18" s="199">
        <f>SUMIFS(JOURNAL!$I:$I,JOURNAL!$D:$D,$A18,JOURNAL!$C:$C,AU$5)</f>
        <v>0</v>
      </c>
      <c r="AW18" s="34">
        <f>INDEX(BUDGET!$A:$R,MATCH($A18,BUDGET!$A:$A,0),MATCH($AU$5,BUDGET!$5:$5,0))</f>
        <v>300</v>
      </c>
      <c r="AY18" s="41">
        <f t="shared" si="8"/>
        <v>-300</v>
      </c>
    </row>
    <row r="19" spans="1:51" x14ac:dyDescent="0.25">
      <c r="A19" s="37" t="str">
        <f>'PLAN COMPTABLE'!C12</f>
        <v>4199 - Autres revenus d'administration</v>
      </c>
      <c r="B19" s="147">
        <f>SUMIFS(JOURNAL!$I:$I,JOURNAL!$D:$D,$A19,JOURNAL!$C:$C,B$5)</f>
        <v>0</v>
      </c>
      <c r="D19" s="147">
        <f>INDEX(BUDGET!$A:$F,MATCH($A19,BUDGET!$A:$A,0),MATCH($B$5,BUDGET!$5:$5,0))</f>
        <v>0</v>
      </c>
      <c r="F19" s="147">
        <f t="shared" si="0"/>
        <v>0</v>
      </c>
      <c r="G19" s="52"/>
      <c r="I19" s="51">
        <f>SUMIFS(JOURNAL!$I:$I,JOURNAL!$D:$D,$A19,JOURNAL!$C:$C,I$5)</f>
        <v>0</v>
      </c>
      <c r="K19" s="51">
        <f>INDEX(BUDGET!$A:$F,MATCH($A19,BUDGET!$A:$A,0),MATCH($I$5,BUDGET!$5:$5,0))</f>
        <v>0</v>
      </c>
      <c r="M19" s="51">
        <f t="shared" si="1"/>
        <v>0</v>
      </c>
      <c r="N19" s="52"/>
      <c r="O19" s="51">
        <f>SUMIFS(JOURNAL!$I:$I,JOURNAL!$D:$D,$A19,JOURNAL!$C:$C,O$5)</f>
        <v>0</v>
      </c>
      <c r="Q19" s="51">
        <f>INDEX(BUDGET!$A:$F,MATCH($A19,BUDGET!$A:$A,0),MATCH($O$5,BUDGET!$5:$5,0))</f>
        <v>0</v>
      </c>
      <c r="S19" s="51">
        <f t="shared" si="2"/>
        <v>0</v>
      </c>
      <c r="U19" s="34">
        <f>SUMIFS(JOURNAL!$I:$I,JOURNAL!$D:$D,$A19,JOURNAL!$C:$C,U$5)</f>
        <v>2.77</v>
      </c>
      <c r="W19" s="167">
        <f>INDEX(BUDGET!$A:$H,MATCH($A19,BUDGET!$A:$A,0),MATCH($U$5,BUDGET!$5:$5,0))</f>
        <v>0</v>
      </c>
      <c r="Y19" s="41">
        <f t="shared" si="3"/>
        <v>2.77</v>
      </c>
      <c r="AA19" s="34">
        <f>SUMIFS(JOURNAL!$I:$I,JOURNAL!$D:$D,$A19,JOURNAL!$C:$C,AA$5)</f>
        <v>0</v>
      </c>
      <c r="AC19" s="34">
        <f>INDEX(BUDGET!$A:$J,MATCH($A19,BUDGET!$A:$A,0),MATCH($AA$5,BUDGET!$5:$5,0))</f>
        <v>0</v>
      </c>
      <c r="AE19" s="41">
        <f t="shared" si="4"/>
        <v>0</v>
      </c>
      <c r="AF19" s="34">
        <f>SUMIFS(JOURNAL!$I:$I,JOURNAL!$D:$D,$A19,JOURNAL!$C:$C,AF$5)</f>
        <v>0</v>
      </c>
      <c r="AH19" s="34">
        <f>INDEX(BUDGET!$A:$L,MATCH(A19,BUDGET!$A:$A,0),MATCH($AF$5,BUDGET!$5:$5,0))</f>
        <v>0</v>
      </c>
      <c r="AJ19" s="41">
        <f t="shared" si="5"/>
        <v>0</v>
      </c>
      <c r="AK19" s="34">
        <f>SUMIFS(JOURNAL!$I:$I,JOURNAL!$D:$D,$A19,JOURNAL!$C:$C,AK$5)</f>
        <v>0</v>
      </c>
      <c r="AM19" s="34">
        <f>INDEX(BUDGET!$A:$N,MATCH(A19,BUDGET!$A:$A,0),MATCH($AK$5,BUDGET!$5:$5,0))</f>
        <v>0</v>
      </c>
      <c r="AO19" s="41">
        <f t="shared" si="6"/>
        <v>0</v>
      </c>
      <c r="AP19" s="34">
        <f>SUMIFS(JOURNAL!$I:$I,JOURNAL!$D:$D,$A19,JOURNAL!$C:$C,AP$5)</f>
        <v>0</v>
      </c>
      <c r="AR19" s="34">
        <f>INDEX(BUDGET!$A:$P,MATCH($A19,BUDGET!$A:$A,0),MATCH($AP$5,BUDGET!$5:$5,0))</f>
        <v>0</v>
      </c>
      <c r="AT19" s="41">
        <f t="shared" si="7"/>
        <v>0</v>
      </c>
      <c r="AU19" s="34">
        <f>SUMIFS(JOURNAL!$I:$I,JOURNAL!$D:$D,$A19,JOURNAL!$C:$C,AU$5)</f>
        <v>0</v>
      </c>
      <c r="AW19" s="34">
        <f>INDEX(BUDGET!$A:$R,MATCH($A19,BUDGET!$A:$A,0),MATCH($AU$5,BUDGET!$5:$5,0))</f>
        <v>0</v>
      </c>
      <c r="AY19" s="41">
        <f t="shared" si="8"/>
        <v>0</v>
      </c>
    </row>
    <row r="20" spans="1:51" ht="13" x14ac:dyDescent="0.3">
      <c r="A20" s="30" t="s">
        <v>108</v>
      </c>
      <c r="B20" s="152">
        <f>SUM(B12:B19)</f>
        <v>17258.079999999998</v>
      </c>
      <c r="D20" s="148">
        <f>SUM(D12:D19)</f>
        <v>16886.73</v>
      </c>
      <c r="F20" s="148">
        <f t="shared" si="0"/>
        <v>371.34999999999854</v>
      </c>
      <c r="G20" s="54"/>
      <c r="I20" s="53">
        <f>SUM(I12:I19)</f>
        <v>17362.3</v>
      </c>
      <c r="K20" s="53">
        <f>SUM(K12:K19)</f>
        <v>15581.55</v>
      </c>
      <c r="M20" s="53">
        <f t="shared" si="1"/>
        <v>1780.75</v>
      </c>
      <c r="N20" s="54"/>
      <c r="O20" s="53">
        <f>SUM(O12:O19)</f>
        <v>15112.6</v>
      </c>
      <c r="Q20" s="53">
        <f>SUM(Q12:Q19)</f>
        <v>16391.400000000001</v>
      </c>
      <c r="S20" s="53">
        <f t="shared" si="2"/>
        <v>-1278.8000000000011</v>
      </c>
      <c r="U20" s="202">
        <f>SUM(U12:U19)</f>
        <v>11008.27</v>
      </c>
      <c r="W20" s="203" t="e">
        <f ca="1">SUM(W12:W20)</f>
        <v>#N/A</v>
      </c>
      <c r="Y20" s="205">
        <f>SUM(Y12:Y19)</f>
        <v>-3031.03</v>
      </c>
      <c r="AA20" s="202">
        <f>SUM(AA12:AA19)</f>
        <v>10705</v>
      </c>
      <c r="AC20" s="203">
        <f>SUM(AC12:AC19)</f>
        <v>19699.419999999998</v>
      </c>
      <c r="AE20" s="205">
        <f>SUM(AE12:AE19)</f>
        <v>-8994.42</v>
      </c>
      <c r="AF20" s="202">
        <f>SUM(AF12:AF19)</f>
        <v>9790.5</v>
      </c>
      <c r="AH20" s="203">
        <f>SUM(AH12:AH19)</f>
        <v>22662.58</v>
      </c>
      <c r="AJ20" s="205">
        <f>SUM(AJ12:AJ19)</f>
        <v>-12872.08</v>
      </c>
      <c r="AK20" s="202">
        <f>SUM(AK12:AK19)</f>
        <v>8212.81</v>
      </c>
      <c r="AM20" s="203">
        <f>SUM(AM12:AM19)</f>
        <v>22790.68</v>
      </c>
      <c r="AO20" s="205">
        <f>SUM(AO12:AO19)</f>
        <v>-14577.87</v>
      </c>
      <c r="AP20" s="202">
        <f>SUM(AP12:AP19)</f>
        <v>10519</v>
      </c>
      <c r="AR20" s="203">
        <f>SUM(AR12:AR19)</f>
        <v>23660</v>
      </c>
      <c r="AT20" s="205">
        <f>SUM(AT12:AT19)</f>
        <v>-13141</v>
      </c>
      <c r="AU20" s="202">
        <f>SUM(AU12:AU19)</f>
        <v>0</v>
      </c>
      <c r="AW20" s="203">
        <f>SUM(AW12:AW19)</f>
        <v>23587</v>
      </c>
      <c r="AY20" s="205">
        <f>SUM(AY12:AY19)</f>
        <v>-23587</v>
      </c>
    </row>
    <row r="21" spans="1:51" x14ac:dyDescent="0.25">
      <c r="B21" s="159"/>
      <c r="D21" s="55"/>
      <c r="F21" s="55"/>
      <c r="G21" s="56"/>
      <c r="I21" s="55"/>
      <c r="K21" s="55"/>
      <c r="M21" s="55"/>
      <c r="N21" s="56"/>
      <c r="O21" s="55"/>
      <c r="Q21" s="55"/>
      <c r="S21" s="55"/>
      <c r="AA21" s="186"/>
      <c r="AF21" s="186"/>
      <c r="AK21" s="186"/>
      <c r="AP21" s="186"/>
      <c r="AU21" s="186"/>
    </row>
    <row r="22" spans="1:51" ht="13" x14ac:dyDescent="0.25">
      <c r="A22" s="30" t="s">
        <v>109</v>
      </c>
      <c r="B22" s="160"/>
      <c r="D22" s="49"/>
      <c r="F22" s="49"/>
      <c r="G22" s="50"/>
      <c r="I22" s="49"/>
      <c r="K22" s="49"/>
      <c r="M22" s="49"/>
      <c r="N22" s="50"/>
      <c r="O22" s="49"/>
      <c r="Q22" s="49"/>
      <c r="S22" s="49"/>
      <c r="AA22" s="186"/>
      <c r="AF22" s="186"/>
      <c r="AK22" s="186"/>
      <c r="AP22" s="186"/>
      <c r="AU22" s="186"/>
    </row>
    <row r="23" spans="1:51" x14ac:dyDescent="0.25">
      <c r="A23" s="37" t="str">
        <f>'PLAN COMPTABLE'!C13</f>
        <v>4200 - 5@7</v>
      </c>
      <c r="B23" s="147">
        <f>SUMIFS(JOURNAL!$I:$I,JOURNAL!$D:$D,$A23,JOURNAL!$C:$C,B$5)</f>
        <v>0</v>
      </c>
      <c r="D23" s="51">
        <f>INDEX(BUDGET!$A:$F,MATCH($A23,BUDGET!$A:$A,0),MATCH($B$5,BUDGET!$5:$5,0))</f>
        <v>0</v>
      </c>
      <c r="F23" s="51">
        <f>B23-D23</f>
        <v>0</v>
      </c>
      <c r="G23" s="52"/>
      <c r="I23" s="51">
        <f>SUMIFS(JOURNAL!$I:$I,JOURNAL!$D:$D,$A23,JOURNAL!$C:$C,I$5)</f>
        <v>0</v>
      </c>
      <c r="K23" s="51">
        <f>INDEX(BUDGET!$A:$F,MATCH($A23,BUDGET!$A:$A,0),MATCH($I$5,BUDGET!$5:$5,0))</f>
        <v>0</v>
      </c>
      <c r="M23" s="51">
        <f t="shared" ref="M23:M35" si="9">I23-K23</f>
        <v>0</v>
      </c>
      <c r="N23" s="52"/>
      <c r="O23" s="51">
        <f>SUMIFS(JOURNAL!$I:$I,JOURNAL!$D:$D,$A23,JOURNAL!$C:$C,O$5)</f>
        <v>0</v>
      </c>
      <c r="Q23" s="51">
        <f>INDEX(BUDGET!$A:$F,MATCH($A23,BUDGET!$A:$A,0),MATCH($O$5,BUDGET!$5:$5,0))</f>
        <v>0</v>
      </c>
      <c r="S23" s="51">
        <f t="shared" ref="S23:S26" si="10">O23-Q23</f>
        <v>0</v>
      </c>
      <c r="U23" s="200">
        <f>SUMIFS(JOURNAL!$I:$I,JOURNAL!$D:$D,$A23,JOURNAL!$C:$C,U$5)</f>
        <v>0</v>
      </c>
      <c r="W23" s="34">
        <f>INDEX(BUDGET!$A:$H,MATCH($A23,BUDGET!$A:$A,0),MATCH($U$5,BUDGET!$5:$5,0))</f>
        <v>0</v>
      </c>
      <c r="Y23" s="41">
        <f>U23-W23</f>
        <v>0</v>
      </c>
      <c r="AA23" s="200">
        <f>SUMIFS(JOURNAL!$I:$I,JOURNAL!$D:$D,$A23,JOURNAL!$C:$C,AA$5)</f>
        <v>0</v>
      </c>
      <c r="AC23" s="34">
        <f>INDEX(BUDGET!$A:$J,MATCH($A23,BUDGET!$A:$A,0),MATCH($AA$5,BUDGET!$5:$5,0))</f>
        <v>0</v>
      </c>
      <c r="AE23" s="41">
        <f>AA23-AC23</f>
        <v>0</v>
      </c>
      <c r="AF23" s="200">
        <f>SUMIFS(JOURNAL!$I:$I,JOURNAL!$D:$D,$A23,JOURNAL!$C:$C,AF$5)</f>
        <v>0</v>
      </c>
      <c r="AH23" s="34">
        <f>INDEX(BUDGET!$A:$L,MATCH(A23,BUDGET!$A:$A,0),MATCH($AF$5,BUDGET!$5:$5,0))</f>
        <v>0</v>
      </c>
      <c r="AJ23" s="41">
        <f>AF23-AH23</f>
        <v>0</v>
      </c>
      <c r="AK23" s="200">
        <f>SUMIFS(JOURNAL!$I:$I,JOURNAL!$D:$D,$A23,JOURNAL!$C:$C,AK$5)</f>
        <v>0</v>
      </c>
      <c r="AM23" s="34">
        <f>INDEX(BUDGET!$A:$N,MATCH(A23,BUDGET!$A:$A,0),MATCH($AK$5,BUDGET!$5:$5,0))</f>
        <v>0</v>
      </c>
      <c r="AO23" s="41">
        <f>AK23-AM23</f>
        <v>0</v>
      </c>
      <c r="AP23" s="200">
        <f>SUMIFS(JOURNAL!$I:$I,JOURNAL!$D:$D,$A23,JOURNAL!$C:$C,AP$5)</f>
        <v>0</v>
      </c>
      <c r="AR23" s="34">
        <f>INDEX(BUDGET!$A:$P,MATCH($A23,BUDGET!$A:$A,0),MATCH($AP$5,BUDGET!$5:$5,0))</f>
        <v>0</v>
      </c>
      <c r="AT23" s="41">
        <f>AP23-AR23</f>
        <v>0</v>
      </c>
      <c r="AU23" s="200">
        <f>SUMIFS(JOURNAL!$I:$I,JOURNAL!$D:$D,$A23,JOURNAL!$C:$C,AU$5)</f>
        <v>0</v>
      </c>
      <c r="AW23" s="34">
        <f>INDEX(BUDGET!$A:$R,MATCH($A23,BUDGET!$A:$A,0),MATCH($AU$5,BUDGET!$5:$5,0))</f>
        <v>0</v>
      </c>
      <c r="AY23" s="41">
        <f>AU23-AW23</f>
        <v>0</v>
      </c>
    </row>
    <row r="24" spans="1:51" x14ac:dyDescent="0.25">
      <c r="A24" s="37" t="str">
        <f>'PLAN COMPTABLE'!C14</f>
        <v>4210 - Matériel promotionnel</v>
      </c>
      <c r="B24" s="147">
        <f>SUMIFS(JOURNAL!$I:$I,JOURNAL!$D:$D,$A24,JOURNAL!$C:$C,B$5)</f>
        <v>0</v>
      </c>
      <c r="D24" s="51">
        <f>INDEX(BUDGET!$A:$F,MATCH($A24,BUDGET!$A:$A,0),MATCH($B$5,BUDGET!$5:$5,0))</f>
        <v>0</v>
      </c>
      <c r="F24" s="51">
        <f t="shared" ref="F24:F35" si="11">B24-D24</f>
        <v>0</v>
      </c>
      <c r="G24" s="52"/>
      <c r="I24" s="51">
        <f>SUMIFS(JOURNAL!$I:$I,JOURNAL!$D:$D,$A24,JOURNAL!$C:$C,I$5)</f>
        <v>0</v>
      </c>
      <c r="K24" s="51">
        <f>INDEX(BUDGET!$A:$F,MATCH($A24,BUDGET!$A:$A,0),MATCH($I$5,BUDGET!$5:$5,0))</f>
        <v>0</v>
      </c>
      <c r="M24" s="51">
        <f t="shared" si="9"/>
        <v>0</v>
      </c>
      <c r="N24" s="52"/>
      <c r="O24" s="51">
        <f>SUMIFS(JOURNAL!$I:$I,JOURNAL!$D:$D,$A24,JOURNAL!$C:$C,O$5)</f>
        <v>0</v>
      </c>
      <c r="Q24" s="51">
        <f>INDEX(BUDGET!$A:$F,MATCH($A24,BUDGET!$A:$A,0),MATCH($O$5,BUDGET!$5:$5,0))</f>
        <v>0</v>
      </c>
      <c r="S24" s="51">
        <f t="shared" si="10"/>
        <v>0</v>
      </c>
      <c r="U24" s="200">
        <f>SUMIFS(JOURNAL!$I:$I,JOURNAL!$D:$D,$A24,JOURNAL!$C:$C,U$5)</f>
        <v>0</v>
      </c>
      <c r="W24" s="34">
        <f>INDEX(BUDGET!$A:$H,MATCH($A24,BUDGET!$A:$A,0),MATCH($U$5,BUDGET!$5:$5,0))</f>
        <v>0</v>
      </c>
      <c r="Y24" s="41">
        <f t="shared" ref="Y24:Y34" si="12">U24-W24</f>
        <v>0</v>
      </c>
      <c r="AA24" s="200">
        <f>SUMIFS(JOURNAL!$I:$I,JOURNAL!$D:$D,$A24,JOURNAL!$C:$C,AA$5)</f>
        <v>0</v>
      </c>
      <c r="AC24" s="34">
        <f>INDEX(BUDGET!$A:$J,MATCH($A24,BUDGET!$A:$A,0),MATCH($AA$5,BUDGET!$5:$5,0))</f>
        <v>0</v>
      </c>
      <c r="AE24" s="41">
        <f t="shared" ref="AE24:AE34" si="13">AA24-AC24</f>
        <v>0</v>
      </c>
      <c r="AF24" s="200">
        <f>SUMIFS(JOURNAL!$I:$I,JOURNAL!$D:$D,$A24,JOURNAL!$C:$C,AF$5)</f>
        <v>0</v>
      </c>
      <c r="AH24" s="34">
        <f>INDEX(BUDGET!$A:$L,MATCH(A24,BUDGET!$A:$A,0),MATCH($AF$5,BUDGET!$5:$5,0))</f>
        <v>0</v>
      </c>
      <c r="AJ24" s="41">
        <f t="shared" ref="AJ24:AJ34" si="14">AF24-AH24</f>
        <v>0</v>
      </c>
      <c r="AK24" s="200">
        <f>SUMIFS(JOURNAL!$I:$I,JOURNAL!$D:$D,$A24,JOURNAL!$C:$C,AK$5)</f>
        <v>0</v>
      </c>
      <c r="AM24" s="34">
        <f>INDEX(BUDGET!$A:$N,MATCH(A24,BUDGET!$A:$A,0),MATCH($AK$5,BUDGET!$5:$5,0))</f>
        <v>0</v>
      </c>
      <c r="AO24" s="41">
        <f t="shared" ref="AO24:AO34" si="15">AK24-AM24</f>
        <v>0</v>
      </c>
      <c r="AP24" s="200">
        <f>SUMIFS(JOURNAL!$I:$I,JOURNAL!$D:$D,$A24,JOURNAL!$C:$C,AP$5)</f>
        <v>0</v>
      </c>
      <c r="AR24" s="34">
        <f>INDEX(BUDGET!$A:$P,MATCH($A24,BUDGET!$A:$A,0),MATCH($AP$5,BUDGET!$5:$5,0))</f>
        <v>0</v>
      </c>
      <c r="AT24" s="41">
        <f t="shared" ref="AT24:AT34" si="16">AP24-AR24</f>
        <v>0</v>
      </c>
      <c r="AU24" s="200">
        <f>SUMIFS(JOURNAL!$I:$I,JOURNAL!$D:$D,$A24,JOURNAL!$C:$C,AU$5)</f>
        <v>0</v>
      </c>
      <c r="AW24" s="34">
        <f>INDEX(BUDGET!$A:$R,MATCH($A24,BUDGET!$A:$A,0),MATCH($AU$5,BUDGET!$5:$5,0))</f>
        <v>0</v>
      </c>
      <c r="AY24" s="41">
        <f t="shared" ref="AY24:AY34" si="17">AU24-AW24</f>
        <v>0</v>
      </c>
    </row>
    <row r="25" spans="1:51" x14ac:dyDescent="0.25">
      <c r="A25" s="37" t="str">
        <f>'PLAN COMPTABLE'!C15</f>
        <v>4220 - Bourses - Colloque 1er Cycle</v>
      </c>
      <c r="B25" s="147">
        <f>SUMIFS(JOURNAL!$I:$I,JOURNAL!$D:$D,$A25,JOURNAL!$C:$C,B$5)</f>
        <v>0</v>
      </c>
      <c r="D25" s="51">
        <f>INDEX(BUDGET!$A:$F,MATCH($A25,BUDGET!$A:$A,0),MATCH($B$5,BUDGET!$5:$5,0))</f>
        <v>0</v>
      </c>
      <c r="F25" s="51">
        <f t="shared" si="11"/>
        <v>0</v>
      </c>
      <c r="G25" s="52"/>
      <c r="I25" s="51">
        <f>SUMIFS(JOURNAL!$I:$I,JOURNAL!$D:$D,$A25,JOURNAL!$C:$C,I$5)</f>
        <v>0</v>
      </c>
      <c r="K25" s="51">
        <f>INDEX(BUDGET!$A:$F,MATCH($A25,BUDGET!$A:$A,0),MATCH($I$5,BUDGET!$5:$5,0))</f>
        <v>0</v>
      </c>
      <c r="M25" s="51">
        <f t="shared" si="9"/>
        <v>0</v>
      </c>
      <c r="N25" s="52"/>
      <c r="O25" s="51">
        <f>SUMIFS(JOURNAL!$I:$I,JOURNAL!$D:$D,$A25,JOURNAL!$C:$C,O$5)</f>
        <v>0</v>
      </c>
      <c r="Q25" s="51">
        <f>INDEX(BUDGET!$A:$F,MATCH($A25,BUDGET!$A:$A,0),MATCH($O$5,BUDGET!$5:$5,0))</f>
        <v>0</v>
      </c>
      <c r="S25" s="51">
        <f t="shared" si="10"/>
        <v>0</v>
      </c>
      <c r="U25" s="200">
        <f>SUMIFS(JOURNAL!$I:$I,JOURNAL!$D:$D,$A25,JOURNAL!$C:$C,U$5)</f>
        <v>0</v>
      </c>
      <c r="W25" s="34">
        <f>INDEX(BUDGET!$A:$H,MATCH($A25,BUDGET!$A:$A,0),MATCH($U$5,BUDGET!$5:$5,0))</f>
        <v>0</v>
      </c>
      <c r="Y25" s="41">
        <f t="shared" si="12"/>
        <v>0</v>
      </c>
      <c r="AA25" s="200">
        <f>SUMIFS(JOURNAL!$I:$I,JOURNAL!$D:$D,$A25,JOURNAL!$C:$C,AA$5)</f>
        <v>0</v>
      </c>
      <c r="AC25" s="34">
        <f>INDEX(BUDGET!$A:$J,MATCH($A25,BUDGET!$A:$A,0),MATCH($AA$5,BUDGET!$5:$5,0))</f>
        <v>0</v>
      </c>
      <c r="AE25" s="41">
        <f t="shared" si="13"/>
        <v>0</v>
      </c>
      <c r="AF25" s="200">
        <f>SUMIFS(JOURNAL!$I:$I,JOURNAL!$D:$D,$A25,JOURNAL!$C:$C,AF$5)</f>
        <v>0</v>
      </c>
      <c r="AH25" s="34">
        <f>INDEX(BUDGET!$A:$L,MATCH(A25,BUDGET!$A:$A,0),MATCH($AF$5,BUDGET!$5:$5,0))</f>
        <v>0</v>
      </c>
      <c r="AJ25" s="41">
        <f t="shared" si="14"/>
        <v>0</v>
      </c>
      <c r="AK25" s="200">
        <f>SUMIFS(JOURNAL!$I:$I,JOURNAL!$D:$D,$A25,JOURNAL!$C:$C,AK$5)</f>
        <v>0</v>
      </c>
      <c r="AM25" s="34">
        <f>INDEX(BUDGET!$A:$N,MATCH(A25,BUDGET!$A:$A,0),MATCH($AK$5,BUDGET!$5:$5,0))</f>
        <v>0</v>
      </c>
      <c r="AO25" s="41">
        <f t="shared" si="15"/>
        <v>0</v>
      </c>
      <c r="AP25" s="200">
        <f>SUMIFS(JOURNAL!$I:$I,JOURNAL!$D:$D,$A25,JOURNAL!$C:$C,AP$5)</f>
        <v>562</v>
      </c>
      <c r="AR25" s="34">
        <f>INDEX(BUDGET!$A:$P,MATCH($A25,BUDGET!$A:$A,0),MATCH($AP$5,BUDGET!$5:$5,0))</f>
        <v>0</v>
      </c>
      <c r="AT25" s="41">
        <f t="shared" si="16"/>
        <v>562</v>
      </c>
      <c r="AU25" s="200">
        <f>SUMIFS(JOURNAL!$I:$I,JOURNAL!$D:$D,$A25,JOURNAL!$C:$C,AU$5)</f>
        <v>0</v>
      </c>
      <c r="AW25" s="34">
        <f>INDEX(BUDGET!$A:$R,MATCH($A25,BUDGET!$A:$A,0),MATCH($AU$5,BUDGET!$5:$5,0))</f>
        <v>0</v>
      </c>
      <c r="AY25" s="41">
        <f t="shared" si="17"/>
        <v>0</v>
      </c>
    </row>
    <row r="26" spans="1:51" x14ac:dyDescent="0.25">
      <c r="A26" s="37" t="str">
        <f>'PLAN COMPTABLE'!C16</f>
        <v>4230 - Projets étudiants</v>
      </c>
      <c r="B26" s="147">
        <f>SUMIFS(JOURNAL!$I:$I,JOURNAL!$D:$D,$A26,JOURNAL!$C:$C,B$5)</f>
        <v>0</v>
      </c>
      <c r="D26" s="51">
        <f>INDEX(BUDGET!$A:$F,MATCH($A26,BUDGET!$A:$A,0),MATCH($B$5,BUDGET!$5:$5,0))</f>
        <v>0</v>
      </c>
      <c r="F26" s="51">
        <f t="shared" si="11"/>
        <v>0</v>
      </c>
      <c r="G26" s="52"/>
      <c r="I26" s="51">
        <f>SUMIFS(JOURNAL!$I:$I,JOURNAL!$D:$D,$A26,JOURNAL!$C:$C,I$5)</f>
        <v>0</v>
      </c>
      <c r="K26" s="51">
        <f>INDEX(BUDGET!$A:$F,MATCH($A26,BUDGET!$A:$A,0),MATCH($I$5,BUDGET!$5:$5,0))</f>
        <v>0</v>
      </c>
      <c r="M26" s="51">
        <f t="shared" si="9"/>
        <v>0</v>
      </c>
      <c r="N26" s="52"/>
      <c r="O26" s="51">
        <f>SUMIFS(JOURNAL!$I:$I,JOURNAL!$D:$D,$A26,JOURNAL!$C:$C,O$5)</f>
        <v>0</v>
      </c>
      <c r="Q26" s="51">
        <f>INDEX(BUDGET!$A:$F,MATCH($A26,BUDGET!$A:$A,0),MATCH($O$5,BUDGET!$5:$5,0))</f>
        <v>0</v>
      </c>
      <c r="S26" s="51">
        <f t="shared" si="10"/>
        <v>0</v>
      </c>
      <c r="U26" s="200">
        <f>SUMIFS(JOURNAL!$I:$I,JOURNAL!$D:$D,$A26,JOURNAL!$C:$C,U$5)</f>
        <v>0</v>
      </c>
      <c r="W26" s="167">
        <f>INDEX(BUDGET!$A:$H,MATCH($A26,BUDGET!$A:$A,0),MATCH($U$5,BUDGET!$5:$5,0))</f>
        <v>0</v>
      </c>
      <c r="Y26" s="41">
        <f t="shared" si="12"/>
        <v>0</v>
      </c>
      <c r="AA26" s="200">
        <f>SUMIFS(JOURNAL!$I:$I,JOURNAL!$D:$D,$A26,JOURNAL!$C:$C,AA$5)</f>
        <v>0</v>
      </c>
      <c r="AC26" s="34">
        <f>INDEX(BUDGET!$A:$J,MATCH($A26,BUDGET!$A:$A,0),MATCH($AA$5,BUDGET!$5:$5,0))</f>
        <v>0</v>
      </c>
      <c r="AE26" s="41">
        <f t="shared" si="13"/>
        <v>0</v>
      </c>
      <c r="AF26" s="200">
        <f>SUMIFS(JOURNAL!$I:$I,JOURNAL!$D:$D,$A26,JOURNAL!$C:$C,AF$5)</f>
        <v>0</v>
      </c>
      <c r="AH26" s="34">
        <f>INDEX(BUDGET!$A:$L,MATCH(A26,BUDGET!$A:$A,0),MATCH($AF$5,BUDGET!$5:$5,0))</f>
        <v>0</v>
      </c>
      <c r="AJ26" s="41">
        <f t="shared" si="14"/>
        <v>0</v>
      </c>
      <c r="AK26" s="200">
        <f>SUMIFS(JOURNAL!$I:$I,JOURNAL!$D:$D,$A26,JOURNAL!$C:$C,AK$5)</f>
        <v>0</v>
      </c>
      <c r="AM26" s="34">
        <f>INDEX(BUDGET!$A:$N,MATCH(A26,BUDGET!$A:$A,0),MATCH($AK$5,BUDGET!$5:$5,0))</f>
        <v>0</v>
      </c>
      <c r="AO26" s="41">
        <f t="shared" si="15"/>
        <v>0</v>
      </c>
      <c r="AP26" s="200">
        <f>SUMIFS(JOURNAL!$I:$I,JOURNAL!$D:$D,$A26,JOURNAL!$C:$C,AP$5)</f>
        <v>0</v>
      </c>
      <c r="AR26" s="34">
        <f>INDEX(BUDGET!$A:$P,MATCH($A26,BUDGET!$A:$A,0),MATCH($AP$5,BUDGET!$5:$5,0))</f>
        <v>0</v>
      </c>
      <c r="AT26" s="41">
        <f t="shared" si="16"/>
        <v>0</v>
      </c>
      <c r="AU26" s="200">
        <f>SUMIFS(JOURNAL!$I:$I,JOURNAL!$D:$D,$A26,JOURNAL!$C:$C,AU$5)</f>
        <v>0</v>
      </c>
      <c r="AW26" s="34">
        <f>INDEX(BUDGET!$A:$R,MATCH($A26,BUDGET!$A:$A,0),MATCH($AU$5,BUDGET!$5:$5,0))</f>
        <v>0</v>
      </c>
      <c r="AY26" s="41">
        <f t="shared" si="17"/>
        <v>0</v>
      </c>
    </row>
    <row r="27" spans="1:51" x14ac:dyDescent="0.25">
      <c r="A27" s="37" t="str">
        <f>'PLAN COMPTABLE'!C17</f>
        <v>4240 - Sports</v>
      </c>
      <c r="B27" s="147"/>
      <c r="D27" s="51"/>
      <c r="F27" s="51"/>
      <c r="G27" s="52"/>
      <c r="I27" s="51"/>
      <c r="K27" s="51"/>
      <c r="M27" s="51"/>
      <c r="N27" s="52"/>
      <c r="O27" s="51"/>
      <c r="Q27" s="51">
        <f>INDEX(BUDGET!$A:$F,MATCH($A27,BUDGET!$A:$A,0),MATCH($O$5,BUDGET!$5:$5,0))</f>
        <v>0</v>
      </c>
      <c r="S27" s="51"/>
      <c r="U27" s="200">
        <f>SUMIFS(JOURNAL!$I:$I,JOURNAL!$D:$D,$A27,JOURNAL!$C:$C,U$5)</f>
        <v>0</v>
      </c>
      <c r="W27" s="34">
        <f>INDEX(BUDGET!$A:$H,MATCH($A27,BUDGET!$A:$A,0),MATCH($U$5,BUDGET!$5:$5,0))</f>
        <v>0</v>
      </c>
      <c r="Y27" s="41">
        <f t="shared" si="12"/>
        <v>0</v>
      </c>
      <c r="AA27" s="200">
        <f>SUMIFS(JOURNAL!$I:$I,JOURNAL!$D:$D,$A27,JOURNAL!$C:$C,AA$5)</f>
        <v>0</v>
      </c>
      <c r="AC27" s="34">
        <f>INDEX(BUDGET!$A:$J,MATCH($A27,BUDGET!$A:$A,0),MATCH($AA$5,BUDGET!$5:$5,0))</f>
        <v>0</v>
      </c>
      <c r="AE27" s="41">
        <f t="shared" si="13"/>
        <v>0</v>
      </c>
      <c r="AF27" s="200">
        <f>SUMIFS(JOURNAL!$I:$I,JOURNAL!$D:$D,$A27,JOURNAL!$C:$C,AF$5)</f>
        <v>0</v>
      </c>
      <c r="AH27" s="34">
        <f>INDEX(BUDGET!$A:$L,MATCH(A27,BUDGET!$A:$A,0),MATCH($AF$5,BUDGET!$5:$5,0))</f>
        <v>0</v>
      </c>
      <c r="AJ27" s="41">
        <f t="shared" si="14"/>
        <v>0</v>
      </c>
      <c r="AK27" s="200">
        <f>SUMIFS(JOURNAL!$I:$I,JOURNAL!$D:$D,$A27,JOURNAL!$C:$C,AK$5)</f>
        <v>0</v>
      </c>
      <c r="AM27" s="34">
        <f>INDEX(BUDGET!$A:$N,MATCH(A27,BUDGET!$A:$A,0),MATCH($AK$5,BUDGET!$5:$5,0))</f>
        <v>0</v>
      </c>
      <c r="AO27" s="41">
        <f t="shared" si="15"/>
        <v>0</v>
      </c>
      <c r="AP27" s="200">
        <f>SUMIFS(JOURNAL!$I:$I,JOURNAL!$D:$D,$A27,JOURNAL!$C:$C,AP$5)</f>
        <v>0</v>
      </c>
      <c r="AR27" s="34">
        <f>INDEX(BUDGET!$A:$P,MATCH($A27,BUDGET!$A:$A,0),MATCH($AP$5,BUDGET!$5:$5,0))</f>
        <v>0</v>
      </c>
      <c r="AT27" s="41">
        <f t="shared" si="16"/>
        <v>0</v>
      </c>
      <c r="AU27" s="200">
        <f>SUMIFS(JOURNAL!$I:$I,JOURNAL!$D:$D,$A27,JOURNAL!$C:$C,AU$5)</f>
        <v>0</v>
      </c>
      <c r="AW27" s="34">
        <f>INDEX(BUDGET!$A:$R,MATCH($A27,BUDGET!$A:$A,0),MATCH($AU$5,BUDGET!$5:$5,0))</f>
        <v>0</v>
      </c>
      <c r="AY27" s="41">
        <f t="shared" si="17"/>
        <v>0</v>
      </c>
    </row>
    <row r="28" spans="1:51" x14ac:dyDescent="0.25">
      <c r="A28" s="37" t="str">
        <f>'PLAN COMPTABLE'!C18</f>
        <v>4250 - Autres activités socio-culturelles</v>
      </c>
      <c r="B28" s="147">
        <f>SUMIFS(JOURNAL!$I:$I,JOURNAL!$D:$D,$A28,JOURNAL!$C:$C,B$5)</f>
        <v>0</v>
      </c>
      <c r="D28" s="51">
        <f>INDEX(BUDGET!$A:$F,MATCH($A28,BUDGET!$A:$A,0),MATCH($B$5,BUDGET!$5:$5,0))</f>
        <v>0</v>
      </c>
      <c r="F28" s="51">
        <f t="shared" si="11"/>
        <v>0</v>
      </c>
      <c r="G28" s="52"/>
      <c r="I28" s="51">
        <f>SUMIFS(JOURNAL!$I:$I,JOURNAL!$D:$D,$A28,JOURNAL!$C:$C,I$5)</f>
        <v>0</v>
      </c>
      <c r="K28" s="51">
        <f>INDEX(BUDGET!$A:$F,MATCH($A28,BUDGET!$A:$A,0),MATCH($I$5,BUDGET!$5:$5,0))</f>
        <v>0</v>
      </c>
      <c r="M28" s="51">
        <f t="shared" si="9"/>
        <v>0</v>
      </c>
      <c r="N28" s="52"/>
      <c r="O28" s="51">
        <f>SUMIFS(JOURNAL!$I:$I,JOURNAL!$D:$D,$A28,JOURNAL!$C:$C,O$5)</f>
        <v>0</v>
      </c>
      <c r="Q28" s="51">
        <f>INDEX(BUDGET!$A:$F,MATCH($A28,BUDGET!$A:$A,0),MATCH($O$5,BUDGET!$5:$5,0))</f>
        <v>0</v>
      </c>
      <c r="S28" s="51">
        <f t="shared" ref="S28:S29" si="18">O28-Q28</f>
        <v>0</v>
      </c>
      <c r="U28" s="200">
        <f>SUMIFS(JOURNAL!$I:$I,JOURNAL!$D:$D,$A28,JOURNAL!$C:$C,U$5)</f>
        <v>0</v>
      </c>
      <c r="W28" s="34">
        <f>INDEX(BUDGET!$A:$H,MATCH($A28,BUDGET!$A:$A,0),MATCH($U$5,BUDGET!$5:$5,0))</f>
        <v>0</v>
      </c>
      <c r="Y28" s="41">
        <f t="shared" si="12"/>
        <v>0</v>
      </c>
      <c r="AA28" s="200">
        <f>SUMIFS(JOURNAL!$I:$I,JOURNAL!$D:$D,$A28,JOURNAL!$C:$C,AA$5)</f>
        <v>0</v>
      </c>
      <c r="AC28" s="34">
        <f>INDEX(BUDGET!$A:$J,MATCH($A28,BUDGET!$A:$A,0),MATCH($AA$5,BUDGET!$5:$5,0))</f>
        <v>0</v>
      </c>
      <c r="AE28" s="41">
        <f t="shared" si="13"/>
        <v>0</v>
      </c>
      <c r="AF28" s="200">
        <f>SUMIFS(JOURNAL!$I:$I,JOURNAL!$D:$D,$A28,JOURNAL!$C:$C,AF$5)</f>
        <v>0</v>
      </c>
      <c r="AH28" s="34">
        <f>INDEX(BUDGET!$A:$L,MATCH(A28,BUDGET!$A:$A,0),MATCH($AF$5,BUDGET!$5:$5,0))</f>
        <v>0</v>
      </c>
      <c r="AJ28" s="41">
        <f t="shared" si="14"/>
        <v>0</v>
      </c>
      <c r="AK28" s="200">
        <f>SUMIFS(JOURNAL!$I:$I,JOURNAL!$D:$D,$A28,JOURNAL!$C:$C,AK$5)</f>
        <v>0</v>
      </c>
      <c r="AM28" s="34">
        <f>INDEX(BUDGET!$A:$N,MATCH(A28,BUDGET!$A:$A,0),MATCH($AK$5,BUDGET!$5:$5,0))</f>
        <v>0</v>
      </c>
      <c r="AO28" s="41">
        <f t="shared" si="15"/>
        <v>0</v>
      </c>
      <c r="AP28" s="200">
        <f>SUMIFS(JOURNAL!$I:$I,JOURNAL!$D:$D,$A28,JOURNAL!$C:$C,AP$5)</f>
        <v>0</v>
      </c>
      <c r="AR28" s="34">
        <f>INDEX(BUDGET!$A:$P,MATCH($A28,BUDGET!$A:$A,0),MATCH($AP$5,BUDGET!$5:$5,0))</f>
        <v>0</v>
      </c>
      <c r="AT28" s="41">
        <f t="shared" si="16"/>
        <v>0</v>
      </c>
      <c r="AU28" s="200">
        <f>SUMIFS(JOURNAL!$I:$I,JOURNAL!$D:$D,$A28,JOURNAL!$C:$C,AU$5)</f>
        <v>0</v>
      </c>
      <c r="AW28" s="34">
        <f>INDEX(BUDGET!$A:$R,MATCH($A28,BUDGET!$A:$A,0),MATCH($AU$5,BUDGET!$5:$5,0))</f>
        <v>0</v>
      </c>
      <c r="AY28" s="41">
        <f t="shared" si="17"/>
        <v>0</v>
      </c>
    </row>
    <row r="29" spans="1:51" x14ac:dyDescent="0.25">
      <c r="A29" s="37" t="str">
        <f>'PLAN COMPTABLE'!C19</f>
        <v>4260 - Activités d'accueil</v>
      </c>
      <c r="B29" s="147">
        <f>SUMIFS(JOURNAL!$I:$I,JOURNAL!$D:$D,$A29,JOURNAL!$C:$C,B$5)</f>
        <v>0</v>
      </c>
      <c r="D29" s="51">
        <f>INDEX(BUDGET!$A:$F,MATCH($A29,BUDGET!$A:$A,0),MATCH($B$5,BUDGET!$5:$5,0))</f>
        <v>0</v>
      </c>
      <c r="F29" s="51">
        <f t="shared" si="11"/>
        <v>0</v>
      </c>
      <c r="G29" s="52"/>
      <c r="I29" s="51">
        <f>SUMIFS(JOURNAL!$I:$I,JOURNAL!$D:$D,$A29,JOURNAL!$C:$C,I$5)</f>
        <v>0</v>
      </c>
      <c r="K29" s="51">
        <f>INDEX(BUDGET!$A:$F,MATCH($A29,BUDGET!$A:$A,0),MATCH($I$5,BUDGET!$5:$5,0))</f>
        <v>0</v>
      </c>
      <c r="M29" s="51">
        <f t="shared" si="9"/>
        <v>0</v>
      </c>
      <c r="N29" s="52"/>
      <c r="O29" s="51">
        <f>SUMIFS(JOURNAL!$I:$I,JOURNAL!$D:$D,$A29,JOURNAL!$C:$C,O$5)</f>
        <v>0</v>
      </c>
      <c r="Q29" s="51">
        <f>INDEX(BUDGET!$A:$F,MATCH($A29,BUDGET!$A:$A,0),MATCH($O$5,BUDGET!$5:$5,0))</f>
        <v>0</v>
      </c>
      <c r="S29" s="51">
        <f t="shared" si="18"/>
        <v>0</v>
      </c>
      <c r="U29" s="200">
        <f>SUMIFS(JOURNAL!$I:$I,JOURNAL!$D:$D,$A29,JOURNAL!$C:$C,U$5)</f>
        <v>0</v>
      </c>
      <c r="W29" s="34">
        <f>INDEX(BUDGET!$A:$H,MATCH($A29,BUDGET!$A:$A,0),MATCH($U$5,BUDGET!$5:$5,0))</f>
        <v>0</v>
      </c>
      <c r="Y29" s="41">
        <f t="shared" si="12"/>
        <v>0</v>
      </c>
      <c r="AA29" s="200">
        <f>SUMIFS(JOURNAL!$I:$I,JOURNAL!$D:$D,$A29,JOURNAL!$C:$C,AA$5)</f>
        <v>0</v>
      </c>
      <c r="AC29" s="34">
        <f>INDEX(BUDGET!$A:$J,MATCH($A29,BUDGET!$A:$A,0),MATCH($AA$5,BUDGET!$5:$5,0))</f>
        <v>0</v>
      </c>
      <c r="AE29" s="41">
        <f t="shared" si="13"/>
        <v>0</v>
      </c>
      <c r="AF29" s="200">
        <f>SUMIFS(JOURNAL!$I:$I,JOURNAL!$D:$D,$A29,JOURNAL!$C:$C,AF$5)</f>
        <v>0</v>
      </c>
      <c r="AH29" s="34">
        <f>INDEX(BUDGET!$A:$L,MATCH(A29,BUDGET!$A:$A,0),MATCH($AF$5,BUDGET!$5:$5,0))</f>
        <v>0</v>
      </c>
      <c r="AJ29" s="41">
        <f t="shared" si="14"/>
        <v>0</v>
      </c>
      <c r="AK29" s="200">
        <f>SUMIFS(JOURNAL!$I:$I,JOURNAL!$D:$D,$A29,JOURNAL!$C:$C,AK$5)</f>
        <v>0</v>
      </c>
      <c r="AM29" s="34">
        <f>INDEX(BUDGET!$A:$N,MATCH(A29,BUDGET!$A:$A,0),MATCH($AK$5,BUDGET!$5:$5,0))</f>
        <v>0</v>
      </c>
      <c r="AO29" s="41">
        <f t="shared" si="15"/>
        <v>0</v>
      </c>
      <c r="AP29" s="200">
        <f>SUMIFS(JOURNAL!$I:$I,JOURNAL!$D:$D,$A29,JOURNAL!$C:$C,AP$5)</f>
        <v>0</v>
      </c>
      <c r="AR29" s="34">
        <f>INDEX(BUDGET!$A:$P,MATCH($A29,BUDGET!$A:$A,0),MATCH($AP$5,BUDGET!$5:$5,0))</f>
        <v>0</v>
      </c>
      <c r="AT29" s="41">
        <f t="shared" si="16"/>
        <v>0</v>
      </c>
      <c r="AU29" s="200">
        <f>SUMIFS(JOURNAL!$I:$I,JOURNAL!$D:$D,$A29,JOURNAL!$C:$C,AU$5)</f>
        <v>0</v>
      </c>
      <c r="AW29" s="34">
        <f>INDEX(BUDGET!$A:$R,MATCH($A29,BUDGET!$A:$A,0),MATCH($AU$5,BUDGET!$5:$5,0))</f>
        <v>0</v>
      </c>
      <c r="AY29" s="41">
        <f t="shared" si="17"/>
        <v>0</v>
      </c>
    </row>
    <row r="30" spans="1:51" x14ac:dyDescent="0.25">
      <c r="A30" s="37" t="str">
        <f>'PLAN COMPTABLE'!C20</f>
        <v>4270 - Party de mi-session (automne)</v>
      </c>
      <c r="B30" s="147">
        <f>SUMIFS(JOURNAL!$I:$I,JOURNAL!$D:$D,$A30,JOURNAL!$C:$C,B$5)</f>
        <v>0</v>
      </c>
      <c r="D30" s="51">
        <f>INDEX(BUDGET!$A:$F,MATCH($A30,BUDGET!$A:$A,0),MATCH($B$5,BUDGET!$5:$5,0))</f>
        <v>0</v>
      </c>
      <c r="F30" s="51">
        <f t="shared" si="11"/>
        <v>0</v>
      </c>
      <c r="G30" s="52"/>
      <c r="I30" s="51">
        <f>SUMIFS(JOURNAL!$I:$I,JOURNAL!$D:$D,$A30,JOURNAL!$C:$C,I$5)</f>
        <v>0</v>
      </c>
      <c r="K30" s="51">
        <f>INDEX(BUDGET!$A:$F,MATCH($A30,BUDGET!$A:$A,0),MATCH($I$5,BUDGET!$5:$5,0))</f>
        <v>0</v>
      </c>
      <c r="M30" s="51">
        <f>I30-K30</f>
        <v>0</v>
      </c>
      <c r="N30" s="52"/>
      <c r="O30" s="51">
        <f>SUMIFS(JOURNAL!$I:$I,JOURNAL!$D:$D,$A30,JOURNAL!$C:$C,O$5)</f>
        <v>0</v>
      </c>
      <c r="Q30" s="51">
        <f>INDEX(BUDGET!$A:$F,MATCH($A30,BUDGET!$A:$A,0),MATCH($O$5,BUDGET!$5:$5,0))</f>
        <v>0</v>
      </c>
      <c r="S30" s="51">
        <f>O30-Q30</f>
        <v>0</v>
      </c>
      <c r="U30" s="200">
        <f>SUMIFS(JOURNAL!$I:$I,JOURNAL!$D:$D,$A30,JOURNAL!$C:$C,U$5)</f>
        <v>0</v>
      </c>
      <c r="W30" s="34">
        <f>INDEX(BUDGET!$A:$H,MATCH($A30,BUDGET!$A:$A,0),MATCH($U$5,BUDGET!$5:$5,0))</f>
        <v>0</v>
      </c>
      <c r="Y30" s="41">
        <f t="shared" si="12"/>
        <v>0</v>
      </c>
      <c r="AA30" s="200">
        <f>SUMIFS(JOURNAL!$I:$I,JOURNAL!$D:$D,$A30,JOURNAL!$C:$C,AA$5)</f>
        <v>0</v>
      </c>
      <c r="AC30" s="34">
        <f>INDEX(BUDGET!$A:$J,MATCH($A30,BUDGET!$A:$A,0),MATCH($AA$5,BUDGET!$5:$5,0))</f>
        <v>0</v>
      </c>
      <c r="AE30" s="41">
        <f t="shared" si="13"/>
        <v>0</v>
      </c>
      <c r="AF30" s="200">
        <f>SUMIFS(JOURNAL!$I:$I,JOURNAL!$D:$D,$A30,JOURNAL!$C:$C,AF$5)</f>
        <v>0</v>
      </c>
      <c r="AH30" s="34">
        <f>INDEX(BUDGET!$A:$L,MATCH(A30,BUDGET!$A:$A,0),MATCH($AF$5,BUDGET!$5:$5,0))</f>
        <v>0</v>
      </c>
      <c r="AJ30" s="41">
        <f t="shared" si="14"/>
        <v>0</v>
      </c>
      <c r="AK30" s="200">
        <f>SUMIFS(JOURNAL!$I:$I,JOURNAL!$D:$D,$A30,JOURNAL!$C:$C,AK$5)</f>
        <v>0</v>
      </c>
      <c r="AM30" s="34">
        <f>INDEX(BUDGET!$A:$N,MATCH(A30,BUDGET!$A:$A,0),MATCH($AK$5,BUDGET!$5:$5,0))</f>
        <v>0</v>
      </c>
      <c r="AO30" s="41">
        <f t="shared" si="15"/>
        <v>0</v>
      </c>
      <c r="AP30" s="200">
        <f>SUMIFS(JOURNAL!$I:$I,JOURNAL!$D:$D,$A30,JOURNAL!$C:$C,AP$5)</f>
        <v>0</v>
      </c>
      <c r="AR30" s="34">
        <f>INDEX(BUDGET!$A:$P,MATCH($A30,BUDGET!$A:$A,0),MATCH($AP$5,BUDGET!$5:$5,0))</f>
        <v>0</v>
      </c>
      <c r="AT30" s="41">
        <f t="shared" si="16"/>
        <v>0</v>
      </c>
      <c r="AU30" s="200">
        <f>SUMIFS(JOURNAL!$I:$I,JOURNAL!$D:$D,$A30,JOURNAL!$C:$C,AU$5)</f>
        <v>0</v>
      </c>
      <c r="AW30" s="34">
        <f>INDEX(BUDGET!$A:$R,MATCH($A30,BUDGET!$A:$A,0),MATCH($AU$5,BUDGET!$5:$5,0))</f>
        <v>0</v>
      </c>
      <c r="AY30" s="41">
        <f t="shared" si="17"/>
        <v>0</v>
      </c>
    </row>
    <row r="31" spans="1:51" x14ac:dyDescent="0.25">
      <c r="A31" s="37" t="str">
        <f>'PLAN COMPTABLE'!C21</f>
        <v>4271 - Party de fin de session (automne)</v>
      </c>
      <c r="B31" s="147">
        <f>SUMIFS(JOURNAL!$I:$I,JOURNAL!$D:$D,$A31,JOURNAL!$C:$C,B$5)</f>
        <v>0</v>
      </c>
      <c r="D31" s="51">
        <f>INDEX(BUDGET!$A:$F,MATCH($A31,BUDGET!$A:$A,0),MATCH($B$5,BUDGET!$5:$5,0))</f>
        <v>0</v>
      </c>
      <c r="F31" s="51">
        <f t="shared" si="11"/>
        <v>0</v>
      </c>
      <c r="G31" s="52"/>
      <c r="I31" s="51">
        <f>SUMIFS(JOURNAL!$I:$I,JOURNAL!$D:$D,$A31,JOURNAL!$C:$C,I$5)</f>
        <v>0</v>
      </c>
      <c r="K31" s="51">
        <f>INDEX(BUDGET!$A:$F,MATCH($A31,BUDGET!$A:$A,0),MATCH($I$5,BUDGET!$5:$5,0))</f>
        <v>0</v>
      </c>
      <c r="M31" s="51">
        <f t="shared" si="9"/>
        <v>0</v>
      </c>
      <c r="N31" s="52"/>
      <c r="O31" s="51">
        <f>SUMIFS(JOURNAL!$I:$I,JOURNAL!$D:$D,$A31,JOURNAL!$C:$C,O$5)</f>
        <v>0</v>
      </c>
      <c r="Q31" s="51">
        <f>INDEX(BUDGET!$A:$F,MATCH($A31,BUDGET!$A:$A,0),MATCH($O$5,BUDGET!$5:$5,0))</f>
        <v>0</v>
      </c>
      <c r="S31" s="51">
        <f t="shared" ref="S31:S35" si="19">O31-Q31</f>
        <v>0</v>
      </c>
      <c r="U31" s="200">
        <f>SUMIFS(JOURNAL!$I:$I,JOURNAL!$D:$D,$A31,JOURNAL!$C:$C,U$5)</f>
        <v>0</v>
      </c>
      <c r="W31" s="34">
        <f>INDEX(BUDGET!$A:$H,MATCH($A31,BUDGET!$A:$A,0),MATCH($U$5,BUDGET!$5:$5,0))</f>
        <v>0</v>
      </c>
      <c r="Y31" s="41">
        <f t="shared" si="12"/>
        <v>0</v>
      </c>
      <c r="AA31" s="200">
        <f>SUMIFS(JOURNAL!$I:$I,JOURNAL!$D:$D,$A31,JOURNAL!$C:$C,AA$5)</f>
        <v>0</v>
      </c>
      <c r="AC31" s="34">
        <f>INDEX(BUDGET!$A:$J,MATCH($A31,BUDGET!$A:$A,0),MATCH($AA$5,BUDGET!$5:$5,0))</f>
        <v>0</v>
      </c>
      <c r="AE31" s="41">
        <f t="shared" si="13"/>
        <v>0</v>
      </c>
      <c r="AF31" s="200">
        <f>SUMIFS(JOURNAL!$I:$I,JOURNAL!$D:$D,$A31,JOURNAL!$C:$C,AF$5)</f>
        <v>0</v>
      </c>
      <c r="AH31" s="34">
        <f>INDEX(BUDGET!$A:$L,MATCH(A31,BUDGET!$A:$A,0),MATCH($AF$5,BUDGET!$5:$5,0))</f>
        <v>0</v>
      </c>
      <c r="AJ31" s="41">
        <f t="shared" si="14"/>
        <v>0</v>
      </c>
      <c r="AK31" s="200">
        <f>SUMIFS(JOURNAL!$I:$I,JOURNAL!$D:$D,$A31,JOURNAL!$C:$C,AK$5)</f>
        <v>0</v>
      </c>
      <c r="AM31" s="34">
        <f>INDEX(BUDGET!$A:$N,MATCH(A31,BUDGET!$A:$A,0),MATCH($AK$5,BUDGET!$5:$5,0))</f>
        <v>0</v>
      </c>
      <c r="AO31" s="41">
        <f t="shared" si="15"/>
        <v>0</v>
      </c>
      <c r="AP31" s="200">
        <f>SUMIFS(JOURNAL!$I:$I,JOURNAL!$D:$D,$A31,JOURNAL!$C:$C,AP$5)</f>
        <v>0</v>
      </c>
      <c r="AR31" s="34">
        <f>INDEX(BUDGET!$A:$P,MATCH($A31,BUDGET!$A:$A,0),MATCH($AP$5,BUDGET!$5:$5,0))</f>
        <v>0</v>
      </c>
      <c r="AT31" s="41">
        <f t="shared" si="16"/>
        <v>0</v>
      </c>
      <c r="AU31" s="200">
        <f>SUMIFS(JOURNAL!$I:$I,JOURNAL!$D:$D,$A31,JOURNAL!$C:$C,AU$5)</f>
        <v>0</v>
      </c>
      <c r="AW31" s="34">
        <f>INDEX(BUDGET!$A:$R,MATCH($A31,BUDGET!$A:$A,0),MATCH($AU$5,BUDGET!$5:$5,0))</f>
        <v>0</v>
      </c>
      <c r="AY31" s="41">
        <f t="shared" si="17"/>
        <v>0</v>
      </c>
    </row>
    <row r="32" spans="1:51" x14ac:dyDescent="0.25">
      <c r="A32" s="37" t="str">
        <f>'PLAN COMPTABLE'!C22</f>
        <v>4272 - Party de début de session (hiver)</v>
      </c>
      <c r="B32" s="147">
        <f>SUMIFS(JOURNAL!$I:$I,JOURNAL!$D:$D,$A32,JOURNAL!$C:$C,B$5)</f>
        <v>0</v>
      </c>
      <c r="D32" s="51">
        <f>INDEX(BUDGET!$A:$F,MATCH($A32,BUDGET!$A:$A,0),MATCH($B$5,BUDGET!$5:$5,0))</f>
        <v>0</v>
      </c>
      <c r="F32" s="51">
        <f t="shared" si="11"/>
        <v>0</v>
      </c>
      <c r="G32" s="52"/>
      <c r="I32" s="51">
        <f>SUMIFS(JOURNAL!$I:$I,JOURNAL!$D:$D,$A32,JOURNAL!$C:$C,I$5)</f>
        <v>0</v>
      </c>
      <c r="K32" s="51">
        <f>INDEX(BUDGET!$A:$F,MATCH($A32,BUDGET!$A:$A,0),MATCH($I$5,BUDGET!$5:$5,0))</f>
        <v>0</v>
      </c>
      <c r="M32" s="51">
        <f t="shared" si="9"/>
        <v>0</v>
      </c>
      <c r="N32" s="52"/>
      <c r="O32" s="51">
        <f>SUMIFS(JOURNAL!$I:$I,JOURNAL!$D:$D,$A32,JOURNAL!$C:$C,O$5)</f>
        <v>0</v>
      </c>
      <c r="Q32" s="51">
        <f>INDEX(BUDGET!$A:$F,MATCH($A32,BUDGET!$A:$A,0),MATCH($O$5,BUDGET!$5:$5,0))</f>
        <v>0</v>
      </c>
      <c r="S32" s="51">
        <f t="shared" si="19"/>
        <v>0</v>
      </c>
      <c r="U32" s="200">
        <f>SUMIFS(JOURNAL!$I:$I,JOURNAL!$D:$D,$A32,JOURNAL!$C:$C,U$5)</f>
        <v>0</v>
      </c>
      <c r="W32" s="34">
        <f>INDEX(BUDGET!$A:$H,MATCH($A32,BUDGET!$A:$A,0),MATCH($U$5,BUDGET!$5:$5,0))</f>
        <v>0</v>
      </c>
      <c r="Y32" s="41">
        <f t="shared" si="12"/>
        <v>0</v>
      </c>
      <c r="AA32" s="200">
        <f>SUMIFS(JOURNAL!$I:$I,JOURNAL!$D:$D,$A32,JOURNAL!$C:$C,AA$5)</f>
        <v>0</v>
      </c>
      <c r="AC32" s="34">
        <f>INDEX(BUDGET!$A:$J,MATCH($A32,BUDGET!$A:$A,0),MATCH($AA$5,BUDGET!$5:$5,0))</f>
        <v>0</v>
      </c>
      <c r="AE32" s="41">
        <f t="shared" si="13"/>
        <v>0</v>
      </c>
      <c r="AF32" s="200">
        <f>SUMIFS(JOURNAL!$I:$I,JOURNAL!$D:$D,$A32,JOURNAL!$C:$C,AF$5)</f>
        <v>0</v>
      </c>
      <c r="AH32" s="34">
        <f>INDEX(BUDGET!$A:$L,MATCH(A32,BUDGET!$A:$A,0),MATCH($AF$5,BUDGET!$5:$5,0))</f>
        <v>0</v>
      </c>
      <c r="AJ32" s="41">
        <f t="shared" si="14"/>
        <v>0</v>
      </c>
      <c r="AK32" s="200">
        <f>SUMIFS(JOURNAL!$I:$I,JOURNAL!$D:$D,$A32,JOURNAL!$C:$C,AK$5)</f>
        <v>0</v>
      </c>
      <c r="AM32" s="34">
        <f>INDEX(BUDGET!$A:$N,MATCH(A32,BUDGET!$A:$A,0),MATCH($AK$5,BUDGET!$5:$5,0))</f>
        <v>0</v>
      </c>
      <c r="AO32" s="41">
        <f t="shared" si="15"/>
        <v>0</v>
      </c>
      <c r="AP32" s="200">
        <f>SUMIFS(JOURNAL!$I:$I,JOURNAL!$D:$D,$A32,JOURNAL!$C:$C,AP$5)</f>
        <v>0</v>
      </c>
      <c r="AR32" s="34">
        <f>INDEX(BUDGET!$A:$P,MATCH($A32,BUDGET!$A:$A,0),MATCH($AP$5,BUDGET!$5:$5,0))</f>
        <v>0</v>
      </c>
      <c r="AT32" s="41">
        <f t="shared" si="16"/>
        <v>0</v>
      </c>
      <c r="AU32" s="200">
        <f>SUMIFS(JOURNAL!$I:$I,JOURNAL!$D:$D,$A32,JOURNAL!$C:$C,AU$5)</f>
        <v>0</v>
      </c>
      <c r="AW32" s="34">
        <f>INDEX(BUDGET!$A:$R,MATCH($A32,BUDGET!$A:$A,0),MATCH($AU$5,BUDGET!$5:$5,0))</f>
        <v>0</v>
      </c>
      <c r="AY32" s="41">
        <f t="shared" si="17"/>
        <v>0</v>
      </c>
    </row>
    <row r="33" spans="1:51" x14ac:dyDescent="0.25">
      <c r="A33" s="37" t="str">
        <f>'PLAN COMPTABLE'!C23</f>
        <v>4273 - Party de mi-session (hiver)</v>
      </c>
      <c r="B33" s="147">
        <f>SUMIFS(JOURNAL!$I:$I,JOURNAL!$D:$D,$A33,JOURNAL!$C:$C,B$5)</f>
        <v>0</v>
      </c>
      <c r="D33" s="51">
        <f>INDEX(BUDGET!$A:$F,MATCH($A33,BUDGET!$A:$A,0),MATCH($B$5,BUDGET!$5:$5,0))</f>
        <v>0</v>
      </c>
      <c r="F33" s="51">
        <f t="shared" si="11"/>
        <v>0</v>
      </c>
      <c r="G33" s="52"/>
      <c r="I33" s="51">
        <f>SUMIFS(JOURNAL!$I:$I,JOURNAL!$D:$D,$A33,JOURNAL!$C:$C,I$5)</f>
        <v>0</v>
      </c>
      <c r="K33" s="51">
        <f>INDEX(BUDGET!$A:$F,MATCH($A33,BUDGET!$A:$A,0),MATCH($I$5,BUDGET!$5:$5,0))</f>
        <v>0</v>
      </c>
      <c r="M33" s="51">
        <f t="shared" si="9"/>
        <v>0</v>
      </c>
      <c r="N33" s="52"/>
      <c r="O33" s="51">
        <f>SUMIFS(JOURNAL!$I:$I,JOURNAL!$D:$D,$A33,JOURNAL!$C:$C,O$5)</f>
        <v>0</v>
      </c>
      <c r="Q33" s="51">
        <f>INDEX(BUDGET!$A:$F,MATCH($A33,BUDGET!$A:$A,0),MATCH($O$5,BUDGET!$5:$5,0))</f>
        <v>0</v>
      </c>
      <c r="S33" s="51">
        <f t="shared" si="19"/>
        <v>0</v>
      </c>
      <c r="U33" s="200">
        <f>SUMIFS(JOURNAL!$I:$I,JOURNAL!$D:$D,$A33,JOURNAL!$C:$C,U$5)</f>
        <v>0</v>
      </c>
      <c r="W33" s="34">
        <f>INDEX(BUDGET!$A:$H,MATCH($A33,BUDGET!$A:$A,0),MATCH($U$5,BUDGET!$5:$5,0))</f>
        <v>0</v>
      </c>
      <c r="Y33" s="41">
        <f t="shared" si="12"/>
        <v>0</v>
      </c>
      <c r="AA33" s="200">
        <f>SUMIFS(JOURNAL!$I:$I,JOURNAL!$D:$D,$A33,JOURNAL!$C:$C,AA$5)</f>
        <v>0</v>
      </c>
      <c r="AC33" s="34">
        <f>INDEX(BUDGET!$A:$J,MATCH($A33,BUDGET!$A:$A,0),MATCH($AA$5,BUDGET!$5:$5,0))</f>
        <v>0</v>
      </c>
      <c r="AE33" s="41">
        <f t="shared" si="13"/>
        <v>0</v>
      </c>
      <c r="AF33" s="200">
        <f>SUMIFS(JOURNAL!$I:$I,JOURNAL!$D:$D,$A33,JOURNAL!$C:$C,AF$5)</f>
        <v>0</v>
      </c>
      <c r="AH33" s="34">
        <f>INDEX(BUDGET!$A:$L,MATCH(A33,BUDGET!$A:$A,0),MATCH($AF$5,BUDGET!$5:$5,0))</f>
        <v>0</v>
      </c>
      <c r="AJ33" s="41">
        <f t="shared" si="14"/>
        <v>0</v>
      </c>
      <c r="AK33" s="200">
        <f>SUMIFS(JOURNAL!$I:$I,JOURNAL!$D:$D,$A33,JOURNAL!$C:$C,AK$5)</f>
        <v>0</v>
      </c>
      <c r="AM33" s="34">
        <f>INDEX(BUDGET!$A:$N,MATCH(A33,BUDGET!$A:$A,0),MATCH($AK$5,BUDGET!$5:$5,0))</f>
        <v>0</v>
      </c>
      <c r="AO33" s="41">
        <f t="shared" si="15"/>
        <v>0</v>
      </c>
      <c r="AP33" s="200">
        <f>SUMIFS(JOURNAL!$I:$I,JOURNAL!$D:$D,$A33,JOURNAL!$C:$C,AP$5)</f>
        <v>0</v>
      </c>
      <c r="AR33" s="34">
        <f>INDEX(BUDGET!$A:$P,MATCH($A33,BUDGET!$A:$A,0),MATCH($AP$5,BUDGET!$5:$5,0))</f>
        <v>0</v>
      </c>
      <c r="AT33" s="41">
        <f t="shared" si="16"/>
        <v>0</v>
      </c>
      <c r="AU33" s="200">
        <f>SUMIFS(JOURNAL!$I:$I,JOURNAL!$D:$D,$A33,JOURNAL!$C:$C,AU$5)</f>
        <v>0</v>
      </c>
      <c r="AW33" s="34">
        <f>INDEX(BUDGET!$A:$R,MATCH($A33,BUDGET!$A:$A,0),MATCH($AU$5,BUDGET!$5:$5,0))</f>
        <v>0</v>
      </c>
      <c r="AY33" s="41">
        <f t="shared" si="17"/>
        <v>0</v>
      </c>
    </row>
    <row r="34" spans="1:51" x14ac:dyDescent="0.25">
      <c r="A34" s="37" t="str">
        <f>'PLAN COMPTABLE'!C24</f>
        <v>4274 - Party de fin de session (hiver)</v>
      </c>
      <c r="B34" s="147">
        <f>SUMIFS(JOURNAL!$I:$I,JOURNAL!$D:$D,$A34,JOURNAL!$C:$C,B$5)</f>
        <v>0</v>
      </c>
      <c r="D34" s="51">
        <f>INDEX(BUDGET!$A:$F,MATCH($A34,BUDGET!$A:$A,0),MATCH($B$5,BUDGET!$5:$5,0))</f>
        <v>0</v>
      </c>
      <c r="F34" s="51">
        <f t="shared" si="11"/>
        <v>0</v>
      </c>
      <c r="G34" s="52"/>
      <c r="I34" s="51">
        <f>SUMIFS(JOURNAL!$I:$I,JOURNAL!$D:$D,$A34,JOURNAL!$C:$C,I$5)</f>
        <v>0</v>
      </c>
      <c r="K34" s="51">
        <f>INDEX(BUDGET!$A:$F,MATCH($A34,BUDGET!$A:$A,0),MATCH($I$5,BUDGET!$5:$5,0))</f>
        <v>0</v>
      </c>
      <c r="M34" s="51">
        <f t="shared" si="9"/>
        <v>0</v>
      </c>
      <c r="N34" s="52"/>
      <c r="O34" s="51">
        <f>SUMIFS(JOURNAL!$I:$I,JOURNAL!$D:$D,$A34,JOURNAL!$C:$C,O$5)</f>
        <v>0</v>
      </c>
      <c r="Q34" s="51">
        <f>INDEX(BUDGET!$A:$F,MATCH($A34,BUDGET!$A:$A,0),MATCH($O$5,BUDGET!$5:$5,0))</f>
        <v>0</v>
      </c>
      <c r="S34" s="51">
        <f t="shared" si="19"/>
        <v>0</v>
      </c>
      <c r="U34" s="200">
        <f>SUMIFS(JOURNAL!$I:$I,JOURNAL!$D:$D,$A34,JOURNAL!$C:$C,U$5)</f>
        <v>0</v>
      </c>
      <c r="W34" s="34">
        <f>INDEX(BUDGET!$A:$H,MATCH($A34,BUDGET!$A:$A,0),MATCH($U$5,BUDGET!$5:$5,0))</f>
        <v>0</v>
      </c>
      <c r="Y34" s="41">
        <f t="shared" si="12"/>
        <v>0</v>
      </c>
      <c r="AA34" s="200">
        <f>SUMIFS(JOURNAL!$I:$I,JOURNAL!$D:$D,$A34,JOURNAL!$C:$C,AA$5)</f>
        <v>0</v>
      </c>
      <c r="AC34" s="34">
        <f>INDEX(BUDGET!$A:$J,MATCH($A34,BUDGET!$A:$A,0),MATCH($AA$5,BUDGET!$5:$5,0))</f>
        <v>0</v>
      </c>
      <c r="AE34" s="41">
        <f t="shared" si="13"/>
        <v>0</v>
      </c>
      <c r="AF34" s="200">
        <f>SUMIFS(JOURNAL!$I:$I,JOURNAL!$D:$D,$A34,JOURNAL!$C:$C,AF$5)</f>
        <v>0</v>
      </c>
      <c r="AH34" s="34">
        <f>INDEX(BUDGET!$A:$L,MATCH(A34,BUDGET!$A:$A,0),MATCH($AF$5,BUDGET!$5:$5,0))</f>
        <v>0</v>
      </c>
      <c r="AJ34" s="41">
        <f t="shared" si="14"/>
        <v>0</v>
      </c>
      <c r="AK34" s="200">
        <f>SUMIFS(JOURNAL!$I:$I,JOURNAL!$D:$D,$A34,JOURNAL!$C:$C,AK$5)</f>
        <v>0</v>
      </c>
      <c r="AM34" s="34">
        <f>INDEX(BUDGET!$A:$N,MATCH(A34,BUDGET!$A:$A,0),MATCH($AK$5,BUDGET!$5:$5,0))</f>
        <v>0</v>
      </c>
      <c r="AO34" s="41">
        <f t="shared" si="15"/>
        <v>0</v>
      </c>
      <c r="AP34" s="200">
        <f>SUMIFS(JOURNAL!$I:$I,JOURNAL!$D:$D,$A34,JOURNAL!$C:$C,AP$5)</f>
        <v>0</v>
      </c>
      <c r="AR34" s="34">
        <f>INDEX(BUDGET!$A:$P,MATCH($A34,BUDGET!$A:$A,0),MATCH($AP$5,BUDGET!$5:$5,0))</f>
        <v>0</v>
      </c>
      <c r="AT34" s="41">
        <f t="shared" si="16"/>
        <v>0</v>
      </c>
      <c r="AU34" s="200">
        <f>SUMIFS(JOURNAL!$I:$I,JOURNAL!$D:$D,$A34,JOURNAL!$C:$C,AU$5)</f>
        <v>0</v>
      </c>
      <c r="AW34" s="34">
        <f>INDEX(BUDGET!$A:$R,MATCH($A34,BUDGET!$A:$A,0),MATCH($AU$5,BUDGET!$5:$5,0))</f>
        <v>0</v>
      </c>
      <c r="AY34" s="41">
        <f t="shared" si="17"/>
        <v>0</v>
      </c>
    </row>
    <row r="35" spans="1:51" ht="13" x14ac:dyDescent="0.3">
      <c r="A35" s="30" t="s">
        <v>110</v>
      </c>
      <c r="B35" s="152">
        <f>SUM(B23:B34)</f>
        <v>0</v>
      </c>
      <c r="D35" s="53">
        <f>SUM(D23:D34)</f>
        <v>0</v>
      </c>
      <c r="F35" s="53">
        <f t="shared" si="11"/>
        <v>0</v>
      </c>
      <c r="G35" s="54"/>
      <c r="I35" s="53">
        <f>SUM(I23:I34)</f>
        <v>0</v>
      </c>
      <c r="K35" s="53">
        <f>SUM(K23:K34)</f>
        <v>0</v>
      </c>
      <c r="M35" s="53">
        <f t="shared" si="9"/>
        <v>0</v>
      </c>
      <c r="N35" s="54"/>
      <c r="O35" s="53">
        <f>SUM(O23:O34)</f>
        <v>0</v>
      </c>
      <c r="Q35" s="53">
        <f>SUM(Q23:Q34)</f>
        <v>0</v>
      </c>
      <c r="S35" s="53">
        <f t="shared" si="19"/>
        <v>0</v>
      </c>
      <c r="U35" s="206">
        <f>SUM(U23:U34)</f>
        <v>0</v>
      </c>
      <c r="W35" s="198">
        <f>SUM(W23:W34)</f>
        <v>0</v>
      </c>
      <c r="Y35" s="198">
        <f>SUM(Y23:Y34)</f>
        <v>0</v>
      </c>
      <c r="AA35" s="206">
        <f>SUM(AA23:AA34)</f>
        <v>0</v>
      </c>
      <c r="AC35" s="198">
        <f>SUM(AC23:AC34)</f>
        <v>0</v>
      </c>
      <c r="AE35" s="198">
        <f>SUM(AE23:AE34)</f>
        <v>0</v>
      </c>
      <c r="AF35" s="206">
        <f>SUM(AF23:AF34)</f>
        <v>0</v>
      </c>
      <c r="AH35" s="198">
        <f>SUM(AH23:AH34)</f>
        <v>0</v>
      </c>
      <c r="AJ35" s="198">
        <f>SUM(AJ23:AJ34)</f>
        <v>0</v>
      </c>
      <c r="AK35" s="206">
        <f>SUM(AK23:AK34)</f>
        <v>0</v>
      </c>
      <c r="AM35" s="198">
        <f>SUM(AM23:AM34)</f>
        <v>0</v>
      </c>
      <c r="AO35" s="198">
        <f>SUM(AO23:AO34)</f>
        <v>0</v>
      </c>
      <c r="AP35" s="206">
        <f>SUM(AP23:AP34)</f>
        <v>562</v>
      </c>
      <c r="AR35" s="198">
        <f>SUM(AR23:AR34)</f>
        <v>0</v>
      </c>
      <c r="AT35" s="198">
        <f>SUM(AT23:AT34)</f>
        <v>562</v>
      </c>
      <c r="AU35" s="206">
        <f>SUM(AU23:AU34)</f>
        <v>0</v>
      </c>
      <c r="AW35" s="198">
        <f>SUM(AW23:AW34)</f>
        <v>0</v>
      </c>
      <c r="AY35" s="198">
        <f>SUM(AY23:AY34)</f>
        <v>0</v>
      </c>
    </row>
    <row r="36" spans="1:51" x14ac:dyDescent="0.25">
      <c r="B36" s="159"/>
      <c r="D36" s="55"/>
      <c r="F36" s="55"/>
      <c r="G36" s="56"/>
      <c r="I36" s="55"/>
      <c r="K36" s="55"/>
      <c r="M36" s="55"/>
      <c r="N36" s="56"/>
      <c r="O36" s="55"/>
      <c r="Q36" s="55"/>
      <c r="S36" s="55"/>
      <c r="U36" s="200"/>
      <c r="AA36" s="200"/>
      <c r="AF36" s="200"/>
      <c r="AK36" s="200"/>
      <c r="AP36" s="200"/>
      <c r="AU36" s="200"/>
    </row>
    <row r="37" spans="1:51" ht="13" x14ac:dyDescent="0.25">
      <c r="A37" s="30" t="s">
        <v>111</v>
      </c>
      <c r="B37" s="160"/>
      <c r="D37" s="49"/>
      <c r="F37" s="49"/>
      <c r="G37" s="50"/>
      <c r="I37" s="49"/>
      <c r="K37" s="49"/>
      <c r="M37" s="49"/>
      <c r="N37" s="50"/>
      <c r="O37" s="49"/>
      <c r="Q37" s="49"/>
      <c r="S37" s="49"/>
      <c r="U37" s="200"/>
      <c r="AA37" s="200"/>
      <c r="AF37" s="200"/>
      <c r="AK37" s="200"/>
      <c r="AP37" s="200"/>
      <c r="AU37" s="200"/>
    </row>
    <row r="38" spans="1:51" x14ac:dyDescent="0.25">
      <c r="A38" s="37" t="str">
        <f>'PLAN COMPTABLE'!C25</f>
        <v>4300 - Colloque des Cycles supérieurs</v>
      </c>
      <c r="B38" s="147">
        <f>SUMIFS(JOURNAL!$I:$I,JOURNAL!$D:$D,$A38,JOURNAL!$C:$C,B$5)</f>
        <v>0</v>
      </c>
      <c r="D38" s="51">
        <f>INDEX(BUDGET!$A:$F,MATCH($A38,BUDGET!$A:$A,0),MATCH($B$5,BUDGET!$5:$5,0))</f>
        <v>0</v>
      </c>
      <c r="F38" s="51">
        <f t="shared" ref="F38:F40" si="20">B38-D38</f>
        <v>0</v>
      </c>
      <c r="G38" s="52"/>
      <c r="I38" s="51">
        <f>SUMIFS(JOURNAL!$I:$I,JOURNAL!$D:$D,$A38,JOURNAL!$C:$C,I$5)</f>
        <v>0</v>
      </c>
      <c r="K38" s="51">
        <f>INDEX(BUDGET!$A:$F,MATCH($A38,BUDGET!$A:$A,0),MATCH($I$5,BUDGET!$5:$5,0))</f>
        <v>0</v>
      </c>
      <c r="M38" s="51">
        <f t="shared" ref="M38:M40" si="21">I38-K38</f>
        <v>0</v>
      </c>
      <c r="N38" s="52"/>
      <c r="O38" s="51">
        <f>SUMIFS(JOURNAL!$I:$I,JOURNAL!$D:$D,$A38,JOURNAL!$C:$C,O$5)</f>
        <v>0</v>
      </c>
      <c r="Q38" s="51">
        <f>INDEX(BUDGET!$A:$F,MATCH($A38,BUDGET!$A:$A,0),MATCH($O$5,BUDGET!$5:$5,0))</f>
        <v>0</v>
      </c>
      <c r="S38" s="51">
        <f t="shared" ref="S38:S41" si="22">O38-Q38</f>
        <v>0</v>
      </c>
      <c r="U38" s="200">
        <f>SUMIFS(JOURNAL!$I:$I,JOURNAL!$D:$D,$A38,JOURNAL!$C:$C,U$5)</f>
        <v>0</v>
      </c>
      <c r="W38" s="34">
        <f>INDEX(BUDGET!$A:$H,MATCH($A38,BUDGET!$A:$A,0),MATCH($U$5,BUDGET!$5:$5,0))</f>
        <v>0</v>
      </c>
      <c r="Y38" s="41">
        <f>U38-W38</f>
        <v>0</v>
      </c>
      <c r="AA38" s="200">
        <f>SUMIFS(JOURNAL!$I:$I,JOURNAL!$D:$D,$A38,JOURNAL!$C:$C,AA$5)</f>
        <v>600</v>
      </c>
      <c r="AC38" s="34">
        <f>INDEX(BUDGET!$A:$J,MATCH($A38,BUDGET!$A:$A,0),MATCH($AA$5,BUDGET!$5:$5,0))</f>
        <v>0</v>
      </c>
      <c r="AE38" s="41">
        <f>AA38-AC38</f>
        <v>600</v>
      </c>
      <c r="AF38" s="200">
        <f>SUMIFS(JOURNAL!$I:$I,JOURNAL!$D:$D,$A38,JOURNAL!$C:$C,AF$5)</f>
        <v>0</v>
      </c>
      <c r="AH38" s="34">
        <f>INDEX(BUDGET!$A:$L,MATCH(A38,BUDGET!$A:$A,0),MATCH($AF$5,BUDGET!$5:$5,0))</f>
        <v>0</v>
      </c>
      <c r="AJ38" s="41">
        <f>AF38-AH38</f>
        <v>0</v>
      </c>
      <c r="AK38" s="200">
        <f>SUMIFS(JOURNAL!$I:$I,JOURNAL!$D:$D,$A38,JOURNAL!$C:$C,AK$5)</f>
        <v>0</v>
      </c>
      <c r="AM38" s="34">
        <f>INDEX(BUDGET!$A:$N,MATCH(A38,BUDGET!$A:$A,0),MATCH($AK$5,BUDGET!$5:$5,0))</f>
        <v>0</v>
      </c>
      <c r="AO38" s="41">
        <f>AK38-AM38</f>
        <v>0</v>
      </c>
      <c r="AP38" s="200">
        <f>SUMIFS(JOURNAL!$I:$I,JOURNAL!$D:$D,$A38,JOURNAL!$C:$C,AP$5)</f>
        <v>2800</v>
      </c>
      <c r="AR38" s="34">
        <f>INDEX(BUDGET!$A:$P,MATCH($A38,BUDGET!$A:$A,0),MATCH($AP$5,BUDGET!$5:$5,0))</f>
        <v>0</v>
      </c>
      <c r="AT38" s="41">
        <f>AP38-AR38</f>
        <v>2800</v>
      </c>
      <c r="AU38" s="200">
        <f>SUMIFS(JOURNAL!$I:$I,JOURNAL!$D:$D,$A38,JOURNAL!$C:$C,AU$5)</f>
        <v>500</v>
      </c>
      <c r="AW38" s="34">
        <f>INDEX(BUDGET!$A:$R,MATCH($A38,BUDGET!$A:$A,0),MATCH($AU$5,BUDGET!$5:$5,0))</f>
        <v>0</v>
      </c>
      <c r="AY38" s="41">
        <f>AU38-AW38</f>
        <v>500</v>
      </c>
    </row>
    <row r="39" spans="1:51" x14ac:dyDescent="0.25">
      <c r="A39" s="37" t="str">
        <f>'PLAN COMPTABLE'!C26</f>
        <v>4310 - Bourses - Colloque Cycles supérieurs</v>
      </c>
      <c r="B39" s="147">
        <f>SUMIFS(JOURNAL!$I:$I,JOURNAL!$D:$D,$A39,JOURNAL!$C:$C,B$5)</f>
        <v>0</v>
      </c>
      <c r="D39" s="51">
        <f>INDEX(BUDGET!$A:$F,MATCH($A39,BUDGET!$A:$A,0),MATCH($B$5,BUDGET!$5:$5,0))</f>
        <v>0</v>
      </c>
      <c r="F39" s="51">
        <f t="shared" si="20"/>
        <v>0</v>
      </c>
      <c r="G39" s="52"/>
      <c r="I39" s="51">
        <f>SUMIFS(JOURNAL!$I:$I,JOURNAL!$D:$D,$A39,JOURNAL!$C:$C,I$5)</f>
        <v>0</v>
      </c>
      <c r="K39" s="51">
        <f>INDEX(BUDGET!$A:$F,MATCH($A39,BUDGET!$A:$A,0),MATCH($I$5,BUDGET!$5:$5,0))</f>
        <v>0</v>
      </c>
      <c r="M39" s="51">
        <f t="shared" si="21"/>
        <v>0</v>
      </c>
      <c r="N39" s="52"/>
      <c r="O39" s="51">
        <f>SUMIFS(JOURNAL!$I:$I,JOURNAL!$D:$D,$A39,JOURNAL!$C:$C,O$5)</f>
        <v>0</v>
      </c>
      <c r="Q39" s="51">
        <f>INDEX(BUDGET!$A:$F,MATCH($A39,BUDGET!$A:$A,0),MATCH($O$5,BUDGET!$5:$5,0))</f>
        <v>0</v>
      </c>
      <c r="S39" s="51">
        <f t="shared" si="22"/>
        <v>0</v>
      </c>
      <c r="U39" s="200">
        <f>SUMIFS(JOURNAL!$I:$I,JOURNAL!$D:$D,$A39,JOURNAL!$C:$C,U$5)</f>
        <v>0</v>
      </c>
      <c r="W39" s="34">
        <f>INDEX(BUDGET!$A:$H,MATCH($A39,BUDGET!$A:$A,0),MATCH($U$5,BUDGET!$5:$5,0))</f>
        <v>0</v>
      </c>
      <c r="Y39" s="41">
        <f t="shared" ref="Y39:Y40" si="23">U39-W39</f>
        <v>0</v>
      </c>
      <c r="AA39" s="200">
        <f>SUMIFS(JOURNAL!$I:$I,JOURNAL!$D:$D,$A39,JOURNAL!$C:$C,AA$5)</f>
        <v>0</v>
      </c>
      <c r="AC39" s="34">
        <f>INDEX(BUDGET!$A:$J,MATCH($A39,BUDGET!$A:$A,0),MATCH($AA$5,BUDGET!$5:$5,0))</f>
        <v>0</v>
      </c>
      <c r="AE39" s="41">
        <f t="shared" ref="AE39:AE40" si="24">AA39-AC39</f>
        <v>0</v>
      </c>
      <c r="AF39" s="200">
        <f>SUMIFS(JOURNAL!$I:$I,JOURNAL!$D:$D,$A39,JOURNAL!$C:$C,AF$5)</f>
        <v>1200</v>
      </c>
      <c r="AH39" s="34">
        <f>INDEX(BUDGET!$A:$L,MATCH(A39,BUDGET!$A:$A,0),MATCH($AF$5,BUDGET!$5:$5,0))</f>
        <v>0</v>
      </c>
      <c r="AJ39" s="41">
        <f t="shared" ref="AJ39:AJ40" si="25">AF39-AH39</f>
        <v>1200</v>
      </c>
      <c r="AK39" s="200">
        <f>SUMIFS(JOURNAL!$I:$I,JOURNAL!$D:$D,$A39,JOURNAL!$C:$C,AK$5)</f>
        <v>0</v>
      </c>
      <c r="AM39" s="34">
        <f>INDEX(BUDGET!$A:$N,MATCH(A39,BUDGET!$A:$A,0),MATCH($AK$5,BUDGET!$5:$5,0))</f>
        <v>750</v>
      </c>
      <c r="AO39" s="41">
        <f t="shared" ref="AO39:AO40" si="26">AK39-AM39</f>
        <v>-750</v>
      </c>
      <c r="AP39" s="200">
        <f>SUMIFS(JOURNAL!$I:$I,JOURNAL!$D:$D,$A39,JOURNAL!$C:$C,AP$5)</f>
        <v>0</v>
      </c>
      <c r="AR39" s="34">
        <f>INDEX(BUDGET!$A:$P,MATCH($A39,BUDGET!$A:$A,0),MATCH($AP$5,BUDGET!$5:$5,0))</f>
        <v>750</v>
      </c>
      <c r="AT39" s="41">
        <f t="shared" ref="AT39:AT40" si="27">AP39-AR39</f>
        <v>-750</v>
      </c>
      <c r="AU39" s="200">
        <f>SUMIFS(JOURNAL!$I:$I,JOURNAL!$D:$D,$A39,JOURNAL!$C:$C,AU$5)</f>
        <v>0</v>
      </c>
      <c r="AW39" s="34">
        <f>INDEX(BUDGET!$A:$R,MATCH($A39,BUDGET!$A:$A,0),MATCH($AU$5,BUDGET!$5:$5,0))</f>
        <v>750</v>
      </c>
      <c r="AY39" s="41">
        <f t="shared" ref="AY39:AY40" si="28">AU39-AW39</f>
        <v>-750</v>
      </c>
    </row>
    <row r="40" spans="1:51" s="11" customFormat="1" ht="15.5" x14ac:dyDescent="0.35">
      <c r="A40" s="37" t="str">
        <f>'PLAN COMPTABLE'!C27</f>
        <v>4320 - Séminaire étudiant</v>
      </c>
      <c r="B40" s="147">
        <f>SUMIFS(JOURNAL!$I:$I,JOURNAL!$D:$D,$A40,JOURNAL!$C:$C,B$5)</f>
        <v>0</v>
      </c>
      <c r="C40" s="41"/>
      <c r="D40" s="51">
        <f>INDEX(BUDGET!$A:$F,MATCH($A40,BUDGET!$A:$A,0),MATCH($B$5,BUDGET!$5:$5,0))</f>
        <v>0</v>
      </c>
      <c r="E40" s="41"/>
      <c r="F40" s="51">
        <f t="shared" si="20"/>
        <v>0</v>
      </c>
      <c r="G40" s="52"/>
      <c r="H40" s="41"/>
      <c r="I40" s="51">
        <f>SUMIFS(JOURNAL!$I:$I,JOURNAL!$D:$D,$A40,JOURNAL!$C:$C,I$5)</f>
        <v>0</v>
      </c>
      <c r="J40" s="41"/>
      <c r="K40" s="51">
        <f>INDEX(BUDGET!$A:$F,MATCH($A40,BUDGET!$A:$A,0),MATCH($I$5,BUDGET!$5:$5,0))</f>
        <v>0</v>
      </c>
      <c r="L40" s="41"/>
      <c r="M40" s="51">
        <f t="shared" si="21"/>
        <v>0</v>
      </c>
      <c r="N40" s="52"/>
      <c r="O40" s="51">
        <f>SUMIFS(JOURNAL!$I:$I,JOURNAL!$D:$D,$A40,JOURNAL!$C:$C,O$5)</f>
        <v>0</v>
      </c>
      <c r="P40" s="41"/>
      <c r="Q40" s="51">
        <f>INDEX(BUDGET!$A:$F,MATCH($A40,BUDGET!$A:$A,0),MATCH($O$5,BUDGET!$5:$5,0))</f>
        <v>0</v>
      </c>
      <c r="R40" s="41"/>
      <c r="S40" s="51">
        <f t="shared" si="22"/>
        <v>0</v>
      </c>
      <c r="U40" s="200">
        <f>SUMIFS(JOURNAL!$I:$I,JOURNAL!$D:$D,$A40,JOURNAL!$C:$C,U$5)</f>
        <v>0</v>
      </c>
      <c r="W40" s="34">
        <f>INDEX(BUDGET!$A:$H,MATCH($A40,BUDGET!$A:$A,0),MATCH($U$5,BUDGET!$5:$5,0))</f>
        <v>0</v>
      </c>
      <c r="Y40" s="41">
        <f t="shared" si="23"/>
        <v>0</v>
      </c>
      <c r="AA40" s="200">
        <f>SUMIFS(JOURNAL!$I:$I,JOURNAL!$D:$D,$A40,JOURNAL!$C:$C,AA$5)</f>
        <v>0</v>
      </c>
      <c r="AC40" s="34">
        <f>INDEX(BUDGET!$A:$J,MATCH($A40,BUDGET!$A:$A,0),MATCH($AA$5,BUDGET!$5:$5,0))</f>
        <v>0</v>
      </c>
      <c r="AE40" s="41">
        <f t="shared" si="24"/>
        <v>0</v>
      </c>
      <c r="AF40" s="200">
        <f>SUMIFS(JOURNAL!$I:$I,JOURNAL!$D:$D,$A40,JOURNAL!$C:$C,AF$5)</f>
        <v>0</v>
      </c>
      <c r="AH40" s="34">
        <f>INDEX(BUDGET!$A:$L,MATCH(A40,BUDGET!$A:$A,0),MATCH($AF$5,BUDGET!$5:$5,0))</f>
        <v>0</v>
      </c>
      <c r="AJ40" s="41">
        <f t="shared" si="25"/>
        <v>0</v>
      </c>
      <c r="AK40" s="200">
        <f>SUMIFS(JOURNAL!$I:$I,JOURNAL!$D:$D,$A40,JOURNAL!$C:$C,AK$5)</f>
        <v>0</v>
      </c>
      <c r="AM40" s="34">
        <f>INDEX(BUDGET!$A:$N,MATCH(A40,BUDGET!$A:$A,0),MATCH($AK$5,BUDGET!$5:$5,0))</f>
        <v>0</v>
      </c>
      <c r="AO40" s="41">
        <f t="shared" si="26"/>
        <v>0</v>
      </c>
      <c r="AP40" s="200">
        <f>SUMIFS(JOURNAL!$I:$I,JOURNAL!$D:$D,$A40,JOURNAL!$C:$C,AP$5)</f>
        <v>0</v>
      </c>
      <c r="AR40" s="34">
        <f>INDEX(BUDGET!$A:$P,MATCH($A40,BUDGET!$A:$A,0),MATCH($AP$5,BUDGET!$5:$5,0))</f>
        <v>0</v>
      </c>
      <c r="AT40" s="41">
        <f t="shared" si="27"/>
        <v>0</v>
      </c>
      <c r="AU40" s="200">
        <f>SUMIFS(JOURNAL!$I:$I,JOURNAL!$D:$D,$A40,JOURNAL!$C:$C,AU$5)</f>
        <v>0</v>
      </c>
      <c r="AW40" s="34">
        <f>INDEX(BUDGET!$A:$R,MATCH($A40,BUDGET!$A:$A,0),MATCH($AU$5,BUDGET!$5:$5,0))</f>
        <v>0</v>
      </c>
      <c r="AY40" s="41">
        <f t="shared" si="28"/>
        <v>0</v>
      </c>
    </row>
    <row r="41" spans="1:51" ht="13" x14ac:dyDescent="0.3">
      <c r="A41" s="30" t="s">
        <v>112</v>
      </c>
      <c r="B41" s="152">
        <f>SUM(B38:B40)</f>
        <v>0</v>
      </c>
      <c r="D41" s="53">
        <f>SUM(D38:D40)</f>
        <v>0</v>
      </c>
      <c r="F41" s="53">
        <f>B41-D41</f>
        <v>0</v>
      </c>
      <c r="G41" s="54"/>
      <c r="I41" s="53">
        <f>SUM(I38:I40)</f>
        <v>0</v>
      </c>
      <c r="K41" s="53">
        <f>SUM(K38:K40)</f>
        <v>0</v>
      </c>
      <c r="M41" s="53">
        <f t="shared" ref="M41:M61" si="29">I41-K41</f>
        <v>0</v>
      </c>
      <c r="N41" s="54"/>
      <c r="O41" s="53">
        <f>SUM(O38:O40)</f>
        <v>0</v>
      </c>
      <c r="Q41" s="53">
        <f>SUM(Q38:Q40)</f>
        <v>0</v>
      </c>
      <c r="S41" s="53">
        <f t="shared" si="22"/>
        <v>0</v>
      </c>
      <c r="U41" s="206">
        <f>SUM(U38:U40)</f>
        <v>0</v>
      </c>
      <c r="W41" s="207">
        <f>SUM(W38:W40)</f>
        <v>0</v>
      </c>
      <c r="Y41" s="198">
        <f>SUM(Y38:Y40)</f>
        <v>0</v>
      </c>
      <c r="AA41" s="206">
        <f>SUM(AA38:AA40)</f>
        <v>600</v>
      </c>
      <c r="AC41" s="207">
        <f>SUM(AC38:AC40)</f>
        <v>0</v>
      </c>
      <c r="AE41" s="198">
        <f>SUM(AE38:AE40)</f>
        <v>600</v>
      </c>
      <c r="AF41" s="206">
        <f>SUM(AF38:AF40)</f>
        <v>1200</v>
      </c>
      <c r="AH41" s="207">
        <f>SUM(AH38:AH40)</f>
        <v>0</v>
      </c>
      <c r="AJ41" s="198">
        <f>SUM(AJ38:AJ40)</f>
        <v>1200</v>
      </c>
      <c r="AK41" s="206">
        <f>SUM(AK38:AK40)</f>
        <v>0</v>
      </c>
      <c r="AM41" s="207">
        <f>SUM(AM38:AM40)</f>
        <v>750</v>
      </c>
      <c r="AO41" s="198">
        <f>SUM(AO38:AO40)</f>
        <v>-750</v>
      </c>
      <c r="AP41" s="206">
        <f>SUM(AP38:AP40)</f>
        <v>2800</v>
      </c>
      <c r="AR41" s="207">
        <f>SUM(AR38:AR40)</f>
        <v>750</v>
      </c>
      <c r="AT41" s="198">
        <f>SUM(AT38:AT40)</f>
        <v>2050</v>
      </c>
      <c r="AU41" s="206">
        <f>SUM(AU38:AU40)</f>
        <v>500</v>
      </c>
      <c r="AW41" s="207">
        <f>SUM(AW38:AW40)</f>
        <v>750</v>
      </c>
      <c r="AY41" s="198">
        <f>SUM(AY38:AY40)</f>
        <v>-250</v>
      </c>
    </row>
    <row r="42" spans="1:51" ht="13" x14ac:dyDescent="0.25">
      <c r="A42" s="30"/>
      <c r="B42" s="153"/>
      <c r="D42" s="129"/>
      <c r="F42" s="129"/>
      <c r="G42" s="54"/>
      <c r="I42" s="129"/>
      <c r="K42" s="129"/>
      <c r="M42" s="129"/>
      <c r="N42" s="54"/>
      <c r="O42" s="129"/>
      <c r="Q42" s="129"/>
      <c r="S42" s="129"/>
      <c r="U42" s="200"/>
      <c r="W42" s="34"/>
      <c r="AA42" s="200"/>
      <c r="AC42" s="34"/>
      <c r="AF42" s="200"/>
      <c r="AH42" s="34"/>
      <c r="AK42" s="200"/>
      <c r="AM42" s="34"/>
      <c r="AP42" s="200"/>
      <c r="AR42" s="34"/>
      <c r="AU42" s="200"/>
      <c r="AW42" s="34"/>
    </row>
    <row r="43" spans="1:51" s="11" customFormat="1" ht="15.5" x14ac:dyDescent="0.35">
      <c r="A43" s="109" t="s">
        <v>113</v>
      </c>
      <c r="B43" s="154"/>
      <c r="C43" s="168"/>
      <c r="D43" s="110"/>
      <c r="E43" s="168"/>
      <c r="F43" s="110"/>
      <c r="G43" s="130"/>
      <c r="H43" s="168"/>
      <c r="I43" s="110"/>
      <c r="J43" s="168"/>
      <c r="K43" s="110"/>
      <c r="L43" s="168"/>
      <c r="M43" s="110"/>
      <c r="N43" s="130"/>
      <c r="O43" s="110"/>
      <c r="P43" s="168"/>
      <c r="Q43" s="110"/>
      <c r="R43" s="168"/>
      <c r="S43" s="110"/>
      <c r="U43" s="200"/>
      <c r="W43" s="34"/>
      <c r="AA43" s="200"/>
      <c r="AC43" s="34"/>
      <c r="AF43" s="200"/>
      <c r="AH43" s="34"/>
      <c r="AK43" s="200"/>
      <c r="AM43" s="34"/>
      <c r="AP43" s="200"/>
      <c r="AR43" s="34"/>
      <c r="AU43" s="200"/>
      <c r="AW43" s="34"/>
    </row>
    <row r="44" spans="1:51" x14ac:dyDescent="0.25">
      <c r="A44" s="169" t="str">
        <f>'PLAN COMPTABLE'!C28</f>
        <v>4400 - Représentation externe</v>
      </c>
      <c r="B44" s="149">
        <f>SUMIFS(JOURNAL!$I:$I,JOURNAL!$D:$D,$A44,JOURNAL!$C:$C,B$5)</f>
        <v>0</v>
      </c>
      <c r="C44" s="168"/>
      <c r="D44" s="131">
        <f>INDEX(BUDGET!$A:$F,MATCH($A44,BUDGET!$A:$A,0),MATCH($B$5,BUDGET!$5:$5,0))</f>
        <v>0</v>
      </c>
      <c r="E44" s="168"/>
      <c r="F44" s="131">
        <f>B44-D44</f>
        <v>0</v>
      </c>
      <c r="G44" s="132"/>
      <c r="H44" s="168"/>
      <c r="I44" s="131">
        <f>SUMIFS(JOURNAL!$I:$I,JOURNAL!$D:$D,$A44,JOURNAL!$C:$C,I$5)</f>
        <v>0</v>
      </c>
      <c r="J44" s="168"/>
      <c r="K44" s="131">
        <f>INDEX(BUDGET!$A:$F,MATCH($A44,BUDGET!$A:$A,0),MATCH($I$5,BUDGET!$5:$5,0))</f>
        <v>0</v>
      </c>
      <c r="L44" s="168"/>
      <c r="M44" s="131">
        <f>I44-K44</f>
        <v>0</v>
      </c>
      <c r="N44" s="132"/>
      <c r="O44" s="131">
        <f>SUMIFS(JOURNAL!$I:$I,JOURNAL!$D:$D,$A44,JOURNAL!$C:$C,O$5)</f>
        <v>0</v>
      </c>
      <c r="P44" s="168"/>
      <c r="Q44" s="51">
        <f>INDEX(BUDGET!$A:$F,MATCH($A44,BUDGET!$A:$A,0),MATCH($O$5,BUDGET!$5:$5,0))</f>
        <v>0</v>
      </c>
      <c r="R44" s="168"/>
      <c r="S44" s="131">
        <f>O44-Q44</f>
        <v>0</v>
      </c>
      <c r="U44" s="200">
        <f>SUMIFS(JOURNAL!$I:$I,JOURNAL!$D:$D,$A44,JOURNAL!$C:$C,U$5)</f>
        <v>0</v>
      </c>
      <c r="W44" s="34">
        <f>INDEX(BUDGET!$A:$H,MATCH($A44,BUDGET!$A:$A,0),MATCH($U$5,BUDGET!$5:$5,0))</f>
        <v>0</v>
      </c>
      <c r="Y44" s="41">
        <f>U44-W44</f>
        <v>0</v>
      </c>
      <c r="AA44" s="200">
        <f>SUMIFS(JOURNAL!$I:$I,JOURNAL!$D:$D,$A44,JOURNAL!$C:$C,AA$5)</f>
        <v>0</v>
      </c>
      <c r="AC44" s="34">
        <f>INDEX(BUDGET!$A:$J,MATCH($A44,BUDGET!$A:$A,0),MATCH($AA$5,BUDGET!$5:$5,0))</f>
        <v>0</v>
      </c>
      <c r="AE44" s="41">
        <f>AA44-AC44</f>
        <v>0</v>
      </c>
      <c r="AF44" s="200">
        <f>SUMIFS(JOURNAL!$I:$I,JOURNAL!$D:$D,$A44,JOURNAL!$C:$C,AF$5)</f>
        <v>0</v>
      </c>
      <c r="AH44" s="34">
        <f>INDEX(BUDGET!$A:$L,MATCH(A44,BUDGET!$A:$A,0),MATCH($AF$5,BUDGET!$5:$5,0))</f>
        <v>0</v>
      </c>
      <c r="AJ44" s="41">
        <f>AF44-AH44</f>
        <v>0</v>
      </c>
      <c r="AK44" s="200">
        <f>SUMIFS(JOURNAL!$I:$I,JOURNAL!$D:$D,$A44,JOURNAL!$C:$C,AK$5)</f>
        <v>0</v>
      </c>
      <c r="AM44" s="34">
        <f>INDEX(BUDGET!$A:$N,MATCH(A44,BUDGET!$A:$A,0),MATCH($AK$5,BUDGET!$5:$5,0))</f>
        <v>0</v>
      </c>
      <c r="AO44" s="41">
        <f>AK44-AM44</f>
        <v>0</v>
      </c>
      <c r="AP44" s="200">
        <f>SUMIFS(JOURNAL!$I:$I,JOURNAL!$D:$D,$A44,JOURNAL!$C:$C,AP$5)</f>
        <v>0</v>
      </c>
      <c r="AR44" s="34">
        <f>INDEX(BUDGET!$A:$P,MATCH($A44,BUDGET!$A:$A,0),MATCH($AP$5,BUDGET!$5:$5,0))</f>
        <v>0</v>
      </c>
      <c r="AT44" s="41">
        <f>AP44-AR44</f>
        <v>0</v>
      </c>
      <c r="AU44" s="200">
        <f>SUMIFS(JOURNAL!$I:$I,JOURNAL!$D:$D,$A44,JOURNAL!$C:$C,AU$5)</f>
        <v>0</v>
      </c>
      <c r="AW44" s="34">
        <f>INDEX(BUDGET!$A:$R,MATCH($A44,BUDGET!$A:$A,0),MATCH($AU$5,BUDGET!$5:$5,0))</f>
        <v>0</v>
      </c>
      <c r="AY44" s="41">
        <f>AU44-AW44</f>
        <v>0</v>
      </c>
    </row>
    <row r="45" spans="1:51" x14ac:dyDescent="0.25">
      <c r="A45" s="169" t="str">
        <f>'PLAN COMPTABLE'!C29</f>
        <v>4410 - Cotisations ASSÉ</v>
      </c>
      <c r="B45" s="149">
        <f>SUMIFS(JOURNAL!$I:$I,JOURNAL!$D:$D,$A45,JOURNAL!$C:$C,B$5)</f>
        <v>0</v>
      </c>
      <c r="C45" s="168"/>
      <c r="D45" s="131">
        <f>INDEX(BUDGET!$A:$F,MATCH($A45,BUDGET!$A:$A,0),MATCH($B$5,BUDGET!$5:$5,0))</f>
        <v>0</v>
      </c>
      <c r="E45" s="168"/>
      <c r="F45" s="131">
        <f t="shared" ref="F45:F47" si="30">B45-D45</f>
        <v>0</v>
      </c>
      <c r="G45" s="132"/>
      <c r="H45" s="168"/>
      <c r="I45" s="131">
        <f>SUMIFS(JOURNAL!$I:$I,JOURNAL!$D:$D,$A45,JOURNAL!$C:$C,I$5)</f>
        <v>0</v>
      </c>
      <c r="J45" s="168"/>
      <c r="K45" s="131">
        <f>INDEX(BUDGET!$A:$F,MATCH($A45,BUDGET!$A:$A,0),MATCH($I$5,BUDGET!$5:$5,0))</f>
        <v>0</v>
      </c>
      <c r="L45" s="168"/>
      <c r="M45" s="131">
        <f t="shared" ref="M45:M47" si="31">I45-K45</f>
        <v>0</v>
      </c>
      <c r="N45" s="132"/>
      <c r="O45" s="131">
        <f>SUMIFS(JOURNAL!$I:$I,JOURNAL!$D:$D,$A45,JOURNAL!$C:$C,O$5)</f>
        <v>0</v>
      </c>
      <c r="P45" s="168"/>
      <c r="Q45" s="51">
        <f>INDEX(BUDGET!$A:$F,MATCH($A45,BUDGET!$A:$A,0),MATCH($O$5,BUDGET!$5:$5,0))</f>
        <v>0</v>
      </c>
      <c r="R45" s="168"/>
      <c r="S45" s="131">
        <f t="shared" ref="S45:S47" si="32">O45-Q45</f>
        <v>0</v>
      </c>
      <c r="U45" s="200">
        <f>SUMIFS(JOURNAL!$I:$I,JOURNAL!$D:$D,$A45,JOURNAL!$C:$C,U$5)</f>
        <v>0</v>
      </c>
      <c r="W45" s="34">
        <f>INDEX(BUDGET!$A:$H,MATCH($A45,BUDGET!$A:$A,0),MATCH($U$5,BUDGET!$5:$5,0))</f>
        <v>0</v>
      </c>
      <c r="Y45" s="41">
        <f t="shared" ref="Y45:Y47" si="33">U45-W45</f>
        <v>0</v>
      </c>
      <c r="AA45" s="200">
        <f>SUMIFS(JOURNAL!$I:$I,JOURNAL!$D:$D,$A45,JOURNAL!$C:$C,AA$5)</f>
        <v>0</v>
      </c>
      <c r="AC45" s="34">
        <f>INDEX(BUDGET!$A:$J,MATCH($A45,BUDGET!$A:$A,0),MATCH($AA$5,BUDGET!$5:$5,0))</f>
        <v>0</v>
      </c>
      <c r="AE45" s="41">
        <f t="shared" ref="AE45:AE47" si="34">AA45-AC45</f>
        <v>0</v>
      </c>
      <c r="AF45" s="200">
        <f>SUMIFS(JOURNAL!$I:$I,JOURNAL!$D:$D,$A45,JOURNAL!$C:$C,AF$5)</f>
        <v>0</v>
      </c>
      <c r="AH45" s="34">
        <f>INDEX(BUDGET!$A:$L,MATCH(A45,BUDGET!$A:$A,0),MATCH($AF$5,BUDGET!$5:$5,0))</f>
        <v>0</v>
      </c>
      <c r="AJ45" s="41">
        <f t="shared" ref="AJ45:AJ47" si="35">AF45-AH45</f>
        <v>0</v>
      </c>
      <c r="AK45" s="200">
        <f>SUMIFS(JOURNAL!$I:$I,JOURNAL!$D:$D,$A45,JOURNAL!$C:$C,AK$5)</f>
        <v>0</v>
      </c>
      <c r="AM45" s="34">
        <f>INDEX(BUDGET!$A:$N,MATCH(A45,BUDGET!$A:$A,0),MATCH($AK$5,BUDGET!$5:$5,0))</f>
        <v>0</v>
      </c>
      <c r="AO45" s="41">
        <f t="shared" ref="AO45:AO47" si="36">AK45-AM45</f>
        <v>0</v>
      </c>
      <c r="AP45" s="200">
        <f>SUMIFS(JOURNAL!$I:$I,JOURNAL!$D:$D,$A45,JOURNAL!$C:$C,AP$5)</f>
        <v>0</v>
      </c>
      <c r="AR45" s="34">
        <f>INDEX(BUDGET!$A:$P,MATCH($A45,BUDGET!$A:$A,0),MATCH($AP$5,BUDGET!$5:$5,0))</f>
        <v>0</v>
      </c>
      <c r="AT45" s="41">
        <f t="shared" ref="AT45:AT47" si="37">AP45-AR45</f>
        <v>0</v>
      </c>
      <c r="AU45" s="200">
        <f>SUMIFS(JOURNAL!$I:$I,JOURNAL!$D:$D,$A45,JOURNAL!$C:$C,AU$5)</f>
        <v>0</v>
      </c>
      <c r="AW45" s="34">
        <f>INDEX(BUDGET!$A:$R,MATCH($A45,BUDGET!$A:$A,0),MATCH($AU$5,BUDGET!$5:$5,0))</f>
        <v>0</v>
      </c>
      <c r="AY45" s="41">
        <f t="shared" ref="AY45:AY47" si="38">AU45-AW45</f>
        <v>0</v>
      </c>
    </row>
    <row r="46" spans="1:51" x14ac:dyDescent="0.25">
      <c r="A46" s="169" t="str">
        <f>'PLAN COMPTABLE'!C30</f>
        <v>4420 - Comité légal de l'ASSÉ</v>
      </c>
      <c r="B46" s="149">
        <f>SUMIFS(JOURNAL!$I:$I,JOURNAL!$D:$D,$A46,JOURNAL!$C:$C,B$5)</f>
        <v>0</v>
      </c>
      <c r="C46" s="168"/>
      <c r="D46" s="131">
        <f>INDEX(BUDGET!$A:$F,MATCH($A46,BUDGET!$A:$A,0),MATCH($B$5,BUDGET!$5:$5,0))</f>
        <v>0</v>
      </c>
      <c r="E46" s="168"/>
      <c r="F46" s="131">
        <f t="shared" si="30"/>
        <v>0</v>
      </c>
      <c r="G46" s="132"/>
      <c r="H46" s="168"/>
      <c r="I46" s="131">
        <f>SUMIFS(JOURNAL!$I:$I,JOURNAL!$D:$D,$A46,JOURNAL!$C:$C,I$5)</f>
        <v>0</v>
      </c>
      <c r="J46" s="168"/>
      <c r="K46" s="131">
        <f>INDEX(BUDGET!$A:$F,MATCH($A46,BUDGET!$A:$A,0),MATCH($I$5,BUDGET!$5:$5,0))</f>
        <v>0</v>
      </c>
      <c r="L46" s="168"/>
      <c r="M46" s="131">
        <f t="shared" si="31"/>
        <v>0</v>
      </c>
      <c r="N46" s="132"/>
      <c r="O46" s="131">
        <f>SUMIFS(JOURNAL!$I:$I,JOURNAL!$D:$D,$A46,JOURNAL!$C:$C,O$5)</f>
        <v>0</v>
      </c>
      <c r="P46" s="168"/>
      <c r="Q46" s="51">
        <f>INDEX(BUDGET!$A:$F,MATCH($A46,BUDGET!$A:$A,0),MATCH($O$5,BUDGET!$5:$5,0))</f>
        <v>0</v>
      </c>
      <c r="R46" s="168"/>
      <c r="S46" s="131">
        <f t="shared" si="32"/>
        <v>0</v>
      </c>
      <c r="U46" s="200">
        <f>SUMIFS(JOURNAL!$I:$I,JOURNAL!$D:$D,$A46,JOURNAL!$C:$C,U$5)</f>
        <v>0</v>
      </c>
      <c r="W46" s="34">
        <f>INDEX(BUDGET!$A:$H,MATCH($A46,BUDGET!$A:$A,0),MATCH($U$5,BUDGET!$5:$5,0))</f>
        <v>0</v>
      </c>
      <c r="Y46" s="41">
        <f t="shared" si="33"/>
        <v>0</v>
      </c>
      <c r="AA46" s="200">
        <f>SUMIFS(JOURNAL!$I:$I,JOURNAL!$D:$D,$A46,JOURNAL!$C:$C,AA$5)</f>
        <v>0</v>
      </c>
      <c r="AC46" s="34">
        <f>INDEX(BUDGET!$A:$J,MATCH($A46,BUDGET!$A:$A,0),MATCH($AA$5,BUDGET!$5:$5,0))</f>
        <v>0</v>
      </c>
      <c r="AE46" s="41">
        <f t="shared" si="34"/>
        <v>0</v>
      </c>
      <c r="AF46" s="200">
        <f>SUMIFS(JOURNAL!$I:$I,JOURNAL!$D:$D,$A46,JOURNAL!$C:$C,AF$5)</f>
        <v>0</v>
      </c>
      <c r="AH46" s="34">
        <f>INDEX(BUDGET!$A:$L,MATCH(A46,BUDGET!$A:$A,0),MATCH($AF$5,BUDGET!$5:$5,0))</f>
        <v>0</v>
      </c>
      <c r="AJ46" s="41">
        <f t="shared" si="35"/>
        <v>0</v>
      </c>
      <c r="AK46" s="200">
        <f>SUMIFS(JOURNAL!$I:$I,JOURNAL!$D:$D,$A46,JOURNAL!$C:$C,AK$5)</f>
        <v>0</v>
      </c>
      <c r="AM46" s="34">
        <f>INDEX(BUDGET!$A:$N,MATCH(A46,BUDGET!$A:$A,0),MATCH($AK$5,BUDGET!$5:$5,0))</f>
        <v>0</v>
      </c>
      <c r="AO46" s="41">
        <f t="shared" si="36"/>
        <v>0</v>
      </c>
      <c r="AP46" s="200">
        <f>SUMIFS(JOURNAL!$I:$I,JOURNAL!$D:$D,$A46,JOURNAL!$C:$C,AP$5)</f>
        <v>0</v>
      </c>
      <c r="AR46" s="34">
        <f>INDEX(BUDGET!$A:$P,MATCH($A46,BUDGET!$A:$A,0),MATCH($AP$5,BUDGET!$5:$5,0))</f>
        <v>0</v>
      </c>
      <c r="AT46" s="41">
        <f t="shared" si="37"/>
        <v>0</v>
      </c>
      <c r="AU46" s="200">
        <f>SUMIFS(JOURNAL!$I:$I,JOURNAL!$D:$D,$A46,JOURNAL!$C:$C,AU$5)</f>
        <v>0</v>
      </c>
      <c r="AW46" s="34">
        <f>INDEX(BUDGET!$A:$R,MATCH($A46,BUDGET!$A:$A,0),MATCH($AU$5,BUDGET!$5:$5,0))</f>
        <v>0</v>
      </c>
      <c r="AY46" s="41">
        <f t="shared" si="38"/>
        <v>0</v>
      </c>
    </row>
    <row r="47" spans="1:51" x14ac:dyDescent="0.25">
      <c r="A47" s="169" t="str">
        <f>'PLAN COMPTABLE'!C31</f>
        <v>4430 - Mobilisation</v>
      </c>
      <c r="B47" s="149">
        <f>SUMIFS(JOURNAL!$I:$I,JOURNAL!$D:$D,$A47,JOURNAL!$C:$C,B$5)</f>
        <v>0</v>
      </c>
      <c r="C47" s="168"/>
      <c r="D47" s="131">
        <f>INDEX(BUDGET!$A:$F,MATCH($A47,BUDGET!$A:$A,0),MATCH($B$5,BUDGET!$5:$5,0))</f>
        <v>0</v>
      </c>
      <c r="E47" s="168"/>
      <c r="F47" s="131">
        <f t="shared" si="30"/>
        <v>0</v>
      </c>
      <c r="G47" s="132"/>
      <c r="H47" s="168"/>
      <c r="I47" s="131">
        <f>SUMIFS(JOURNAL!$I:$I,JOURNAL!$D:$D,$A47,JOURNAL!$C:$C,I$5)</f>
        <v>0</v>
      </c>
      <c r="J47" s="168"/>
      <c r="K47" s="131">
        <f>INDEX(BUDGET!$A:$F,MATCH($A47,BUDGET!$A:$A,0),MATCH($I$5,BUDGET!$5:$5,0))</f>
        <v>0</v>
      </c>
      <c r="L47" s="168"/>
      <c r="M47" s="131">
        <f t="shared" si="31"/>
        <v>0</v>
      </c>
      <c r="N47" s="132"/>
      <c r="O47" s="131">
        <f>SUMIFS(JOURNAL!$I:$I,JOURNAL!$D:$D,$A47,JOURNAL!$C:$C,O$5)</f>
        <v>0</v>
      </c>
      <c r="P47" s="168"/>
      <c r="Q47" s="51">
        <f>INDEX(BUDGET!$A:$F,MATCH($A47,BUDGET!$A:$A,0),MATCH($O$5,BUDGET!$5:$5,0))</f>
        <v>0</v>
      </c>
      <c r="R47" s="168"/>
      <c r="S47" s="131">
        <f t="shared" si="32"/>
        <v>0</v>
      </c>
      <c r="U47" s="200">
        <f>SUMIFS(JOURNAL!$I:$I,JOURNAL!$D:$D,$A47,JOURNAL!$C:$C,U$5)</f>
        <v>0</v>
      </c>
      <c r="W47" s="34">
        <f>INDEX(BUDGET!$A:$H,MATCH($A47,BUDGET!$A:$A,0),MATCH($U$5,BUDGET!$5:$5,0))</f>
        <v>0</v>
      </c>
      <c r="Y47" s="41">
        <f t="shared" si="33"/>
        <v>0</v>
      </c>
      <c r="AA47" s="200">
        <f>SUMIFS(JOURNAL!$I:$I,JOURNAL!$D:$D,$A47,JOURNAL!$C:$C,AA$5)</f>
        <v>0</v>
      </c>
      <c r="AC47" s="34">
        <f>INDEX(BUDGET!$A:$J,MATCH($A47,BUDGET!$A:$A,0),MATCH($AA$5,BUDGET!$5:$5,0))</f>
        <v>0</v>
      </c>
      <c r="AE47" s="41">
        <f t="shared" si="34"/>
        <v>0</v>
      </c>
      <c r="AF47" s="200">
        <f>SUMIFS(JOURNAL!$I:$I,JOURNAL!$D:$D,$A47,JOURNAL!$C:$C,AF$5)</f>
        <v>0</v>
      </c>
      <c r="AH47" s="34">
        <f>INDEX(BUDGET!$A:$L,MATCH(A47,BUDGET!$A:$A,0),MATCH($AF$5,BUDGET!$5:$5,0))</f>
        <v>0</v>
      </c>
      <c r="AJ47" s="41">
        <f t="shared" si="35"/>
        <v>0</v>
      </c>
      <c r="AK47" s="200">
        <f>SUMIFS(JOURNAL!$I:$I,JOURNAL!$D:$D,$A47,JOURNAL!$C:$C,AK$5)</f>
        <v>0</v>
      </c>
      <c r="AM47" s="34">
        <f>INDEX(BUDGET!$A:$N,MATCH(A47,BUDGET!$A:$A,0),MATCH($AK$5,BUDGET!$5:$5,0))</f>
        <v>0</v>
      </c>
      <c r="AO47" s="41">
        <f t="shared" si="36"/>
        <v>0</v>
      </c>
      <c r="AP47" s="200">
        <f>SUMIFS(JOURNAL!$I:$I,JOURNAL!$D:$D,$A47,JOURNAL!$C:$C,AP$5)</f>
        <v>0</v>
      </c>
      <c r="AR47" s="34">
        <f>INDEX(BUDGET!$A:$P,MATCH($A47,BUDGET!$A:$A,0),MATCH($AP$5,BUDGET!$5:$5,0))</f>
        <v>0</v>
      </c>
      <c r="AT47" s="41">
        <f t="shared" si="37"/>
        <v>0</v>
      </c>
      <c r="AU47" s="200">
        <f>SUMIFS(JOURNAL!$I:$I,JOURNAL!$D:$D,$A47,JOURNAL!$C:$C,AU$5)</f>
        <v>0</v>
      </c>
      <c r="AW47" s="34">
        <f>INDEX(BUDGET!$A:$R,MATCH($A47,BUDGET!$A:$A,0),MATCH($AU$5,BUDGET!$5:$5,0))</f>
        <v>0</v>
      </c>
      <c r="AY47" s="41">
        <f t="shared" si="38"/>
        <v>0</v>
      </c>
    </row>
    <row r="48" spans="1:51" ht="13" x14ac:dyDescent="0.3">
      <c r="A48" s="109" t="s">
        <v>114</v>
      </c>
      <c r="B48" s="155">
        <v>0</v>
      </c>
      <c r="C48" s="168"/>
      <c r="D48" s="111">
        <v>0</v>
      </c>
      <c r="E48" s="168"/>
      <c r="F48" s="111">
        <v>0</v>
      </c>
      <c r="G48" s="133"/>
      <c r="H48" s="168"/>
      <c r="I48" s="111">
        <v>0</v>
      </c>
      <c r="J48" s="168"/>
      <c r="K48" s="111">
        <v>0</v>
      </c>
      <c r="L48" s="168"/>
      <c r="M48" s="111">
        <v>0</v>
      </c>
      <c r="N48" s="133"/>
      <c r="O48" s="111">
        <v>0</v>
      </c>
      <c r="P48" s="168"/>
      <c r="Q48" s="111">
        <v>0</v>
      </c>
      <c r="R48" s="168"/>
      <c r="S48" s="111">
        <v>0</v>
      </c>
      <c r="U48" s="206">
        <f>SUM(U44:U47)</f>
        <v>0</v>
      </c>
      <c r="W48" s="207">
        <f xml:space="preserve"> SUM(W44:W47)</f>
        <v>0</v>
      </c>
      <c r="Y48" s="198">
        <f>SUM(Y44:Y47)</f>
        <v>0</v>
      </c>
      <c r="AA48" s="206">
        <f>SUM(AA44:AA47)</f>
        <v>0</v>
      </c>
      <c r="AC48" s="207">
        <f xml:space="preserve"> SUM(AC44:AC47)</f>
        <v>0</v>
      </c>
      <c r="AE48" s="198">
        <f>SUM(AE44:AE47)</f>
        <v>0</v>
      </c>
      <c r="AF48" s="206">
        <f>SUM(AF44:AF47)</f>
        <v>0</v>
      </c>
      <c r="AH48" s="207">
        <f xml:space="preserve"> SUM(AH44:AH47)</f>
        <v>0</v>
      </c>
      <c r="AJ48" s="198">
        <f>SUM(AJ44:AJ47)</f>
        <v>0</v>
      </c>
      <c r="AK48" s="206">
        <f>SUM(AK44:AK47)</f>
        <v>0</v>
      </c>
      <c r="AM48" s="207">
        <f xml:space="preserve"> SUM(AM44:AM47)</f>
        <v>0</v>
      </c>
      <c r="AO48" s="198">
        <f>SUM(AO44:AO47)</f>
        <v>0</v>
      </c>
      <c r="AP48" s="206">
        <f>SUM(AP44:AP47)</f>
        <v>0</v>
      </c>
      <c r="AR48" s="207">
        <f xml:space="preserve"> SUM(AR44:AR47)</f>
        <v>0</v>
      </c>
      <c r="AT48" s="198">
        <f>SUM(AT44:AT47)</f>
        <v>0</v>
      </c>
      <c r="AU48" s="206">
        <f>SUM(AU44:AU47)</f>
        <v>0</v>
      </c>
      <c r="AW48" s="207">
        <f xml:space="preserve"> SUM(AW44:AW47)</f>
        <v>0</v>
      </c>
      <c r="AY48" s="198">
        <f>SUM(AY44:AY47)</f>
        <v>0</v>
      </c>
    </row>
    <row r="49" spans="1:51" ht="13" x14ac:dyDescent="0.25">
      <c r="A49" s="30"/>
      <c r="B49" s="153"/>
      <c r="D49" s="129"/>
      <c r="F49" s="129"/>
      <c r="G49" s="54"/>
      <c r="I49" s="129"/>
      <c r="K49" s="129"/>
      <c r="M49" s="129"/>
      <c r="N49" s="54"/>
      <c r="O49" s="129"/>
      <c r="Q49" s="129"/>
      <c r="S49" s="129"/>
      <c r="U49" s="200"/>
      <c r="W49" s="34"/>
      <c r="AA49" s="200"/>
      <c r="AC49" s="34"/>
      <c r="AF49" s="200"/>
      <c r="AH49" s="34"/>
      <c r="AK49" s="200"/>
      <c r="AM49" s="34"/>
      <c r="AP49" s="200"/>
      <c r="AR49" s="34"/>
      <c r="AU49" s="200"/>
      <c r="AW49" s="34"/>
    </row>
    <row r="50" spans="1:51" ht="13" x14ac:dyDescent="0.25">
      <c r="A50" s="109" t="s">
        <v>115</v>
      </c>
      <c r="B50" s="154"/>
      <c r="C50" s="168"/>
      <c r="D50" s="110"/>
      <c r="E50" s="168"/>
      <c r="F50" s="110"/>
      <c r="G50" s="130"/>
      <c r="H50" s="168"/>
      <c r="I50" s="110"/>
      <c r="J50" s="168"/>
      <c r="K50" s="110"/>
      <c r="L50" s="168"/>
      <c r="M50" s="110"/>
      <c r="N50" s="130"/>
      <c r="O50" s="110"/>
      <c r="P50" s="168"/>
      <c r="Q50" s="110"/>
      <c r="R50" s="168"/>
      <c r="S50" s="110"/>
      <c r="U50" s="200"/>
      <c r="W50" s="34"/>
      <c r="AA50" s="200"/>
      <c r="AC50" s="34"/>
      <c r="AF50" s="200"/>
      <c r="AH50" s="34"/>
      <c r="AK50" s="200"/>
      <c r="AM50" s="34"/>
      <c r="AP50" s="200"/>
      <c r="AR50" s="34"/>
      <c r="AU50" s="200"/>
      <c r="AW50" s="34"/>
    </row>
    <row r="51" spans="1:51" x14ac:dyDescent="0.25">
      <c r="A51" s="169" t="str">
        <f>'PLAN COMPTABLE'!C32</f>
        <v>4500 - Ithaque</v>
      </c>
      <c r="B51" s="149">
        <f>SUMIFS(JOURNAL!$I:$I,JOURNAL!$D:$D,$A51,JOURNAL!$C:$C,B$5)</f>
        <v>0</v>
      </c>
      <c r="C51" s="168"/>
      <c r="D51" s="131">
        <f>INDEX(BUDGET!$A:$F,MATCH($A51,BUDGET!$A:$A,0),MATCH($B$5,BUDGET!$5:$5,0))</f>
        <v>0</v>
      </c>
      <c r="E51" s="168"/>
      <c r="F51" s="131">
        <f>B51-D51</f>
        <v>0</v>
      </c>
      <c r="G51" s="132"/>
      <c r="H51" s="168"/>
      <c r="I51" s="131">
        <f>SUMIFS(JOURNAL!$I:$I,JOURNAL!$D:$D,$A51,JOURNAL!$C:$C,I$5)</f>
        <v>0</v>
      </c>
      <c r="J51" s="168"/>
      <c r="K51" s="131">
        <f>INDEX(BUDGET!$A:$F,MATCH($A51,BUDGET!$A:$A,0),MATCH($I$5,BUDGET!$5:$5,0))</f>
        <v>0</v>
      </c>
      <c r="L51" s="168"/>
      <c r="M51" s="131">
        <f>I51-K51</f>
        <v>0</v>
      </c>
      <c r="N51" s="132"/>
      <c r="O51" s="131">
        <f>SUMIFS(JOURNAL!$I:$I,JOURNAL!$D:$D,$A51,JOURNAL!$C:$C,O$5)</f>
        <v>0</v>
      </c>
      <c r="P51" s="168"/>
      <c r="Q51" s="51">
        <f>INDEX(BUDGET!$A:$F,MATCH($A51,BUDGET!$A:$A,0),MATCH($O$5,BUDGET!$5:$5,0))</f>
        <v>0</v>
      </c>
      <c r="R51" s="168"/>
      <c r="S51" s="131">
        <f>O51-Q51</f>
        <v>0</v>
      </c>
      <c r="U51" s="200">
        <f>SUMIFS(JOURNAL!$I:$I,JOURNAL!$D:$D,$A51,JOURNAL!$C:$C,U$5)</f>
        <v>0</v>
      </c>
      <c r="W51" s="34">
        <f>INDEX(BUDGET!$A:$H,MATCH($A51,BUDGET!$A:$A,0),MATCH($U$5,BUDGET!$5:$5,0))</f>
        <v>0</v>
      </c>
      <c r="Y51" s="41">
        <f>U51-W51</f>
        <v>0</v>
      </c>
      <c r="AA51" s="200">
        <f>SUMIFS(JOURNAL!$I:$I,JOURNAL!$D:$D,$A51,JOURNAL!$C:$C,AA$5)</f>
        <v>0</v>
      </c>
      <c r="AC51" s="34">
        <f>INDEX(BUDGET!$A:$J,MATCH($A51,BUDGET!$A:$A,0),MATCH($AA$5,BUDGET!$5:$5,0))</f>
        <v>0</v>
      </c>
      <c r="AE51" s="41">
        <f>AA51-AC51</f>
        <v>0</v>
      </c>
      <c r="AF51" s="200">
        <f>SUMIFS(JOURNAL!$I:$I,JOURNAL!$D:$D,$A51,JOURNAL!$C:$C,AF$5)</f>
        <v>0</v>
      </c>
      <c r="AH51" s="34">
        <f>INDEX(BUDGET!$A:$L,MATCH(A51,BUDGET!$A:$A,0),MATCH($AF$5,BUDGET!$5:$5,0))</f>
        <v>0</v>
      </c>
      <c r="AJ51" s="41">
        <f>AF51-AH51</f>
        <v>0</v>
      </c>
      <c r="AK51" s="200">
        <f>SUMIFS(JOURNAL!$I:$I,JOURNAL!$D:$D,$A51,JOURNAL!$C:$C,AK$5)</f>
        <v>0</v>
      </c>
      <c r="AM51" s="34">
        <f>INDEX(BUDGET!$A:$N,MATCH(A51,BUDGET!$A:$A,0),MATCH($AK$5,BUDGET!$5:$5,0))</f>
        <v>0</v>
      </c>
      <c r="AO51" s="41">
        <f>AK51-AM51</f>
        <v>0</v>
      </c>
      <c r="AP51" s="200">
        <f>SUMIFS(JOURNAL!$I:$I,JOURNAL!$D:$D,$A51,JOURNAL!$C:$C,AP$5)</f>
        <v>0</v>
      </c>
      <c r="AR51" s="34">
        <f>INDEX(BUDGET!$A:$P,MATCH($A51,BUDGET!$A:$A,0),MATCH($AP$5,BUDGET!$5:$5,0))</f>
        <v>0</v>
      </c>
      <c r="AT51" s="41">
        <f>AP51-AR51</f>
        <v>0</v>
      </c>
      <c r="AU51" s="200">
        <f>SUMIFS(JOURNAL!$I:$I,JOURNAL!$D:$D,$A51,JOURNAL!$C:$C,AU$5)</f>
        <v>0</v>
      </c>
      <c r="AW51" s="34">
        <f>INDEX(BUDGET!$A:$R,MATCH($A51,BUDGET!$A:$A,0),MATCH($AU$5,BUDGET!$5:$5,0))</f>
        <v>0</v>
      </c>
      <c r="AY51" s="41">
        <f>AU51-AW51</f>
        <v>0</v>
      </c>
    </row>
    <row r="52" spans="1:51" x14ac:dyDescent="0.25">
      <c r="A52" s="169" t="str">
        <f>'PLAN COMPTABLE'!C33</f>
        <v>4510 - Philopolis</v>
      </c>
      <c r="B52" s="149">
        <f>SUMIFS(JOURNAL!$I:$I,JOURNAL!$D:$D,$A52,JOURNAL!$C:$C,B$5)</f>
        <v>0</v>
      </c>
      <c r="C52" s="168"/>
      <c r="D52" s="131">
        <f>INDEX(BUDGET!$A:$F,MATCH($A52,BUDGET!$A:$A,0),MATCH($B$5,BUDGET!$5:$5,0))</f>
        <v>0</v>
      </c>
      <c r="E52" s="168"/>
      <c r="F52" s="131">
        <f t="shared" ref="F52:F57" si="39">B52-D52</f>
        <v>0</v>
      </c>
      <c r="G52" s="132"/>
      <c r="H52" s="168"/>
      <c r="I52" s="131">
        <f>SUMIFS(JOURNAL!$I:$I,JOURNAL!$D:$D,$A52,JOURNAL!$C:$C,I$5)</f>
        <v>0</v>
      </c>
      <c r="J52" s="168"/>
      <c r="K52" s="131">
        <f>INDEX(BUDGET!$A:$F,MATCH($A52,BUDGET!$A:$A,0),MATCH($I$5,BUDGET!$5:$5,0))</f>
        <v>0</v>
      </c>
      <c r="L52" s="168"/>
      <c r="M52" s="131">
        <f t="shared" ref="M52:M57" si="40">I52-K52</f>
        <v>0</v>
      </c>
      <c r="N52" s="132"/>
      <c r="O52" s="131">
        <f>SUMIFS(JOURNAL!$I:$I,JOURNAL!$D:$D,$A52,JOURNAL!$C:$C,O$5)</f>
        <v>0</v>
      </c>
      <c r="P52" s="168"/>
      <c r="Q52" s="51">
        <f>INDEX(BUDGET!$A:$F,MATCH($A52,BUDGET!$A:$A,0),MATCH($O$5,BUDGET!$5:$5,0))</f>
        <v>0</v>
      </c>
      <c r="R52" s="168"/>
      <c r="S52" s="131">
        <f t="shared" ref="S52:S57" si="41">O52-Q52</f>
        <v>0</v>
      </c>
      <c r="U52" s="200">
        <f>SUMIFS(JOURNAL!$I:$I,JOURNAL!$D:$D,$A52,JOURNAL!$C:$C,U$5)</f>
        <v>0</v>
      </c>
      <c r="W52" s="34">
        <f>INDEX(BUDGET!$A:$H,MATCH($A52,BUDGET!$A:$A,0),MATCH($U$5,BUDGET!$5:$5,0))</f>
        <v>0</v>
      </c>
      <c r="Y52" s="41">
        <f t="shared" ref="Y52:Y57" si="42">U52-W52</f>
        <v>0</v>
      </c>
      <c r="AA52" s="200">
        <f>SUMIFS(JOURNAL!$I:$I,JOURNAL!$D:$D,$A52,JOURNAL!$C:$C,AA$5)</f>
        <v>0</v>
      </c>
      <c r="AC52" s="34">
        <f>INDEX(BUDGET!$A:$J,MATCH($A52,BUDGET!$A:$A,0),MATCH($AA$5,BUDGET!$5:$5,0))</f>
        <v>0</v>
      </c>
      <c r="AE52" s="41">
        <f t="shared" ref="AE52:AE57" si="43">AA52-AC52</f>
        <v>0</v>
      </c>
      <c r="AF52" s="200">
        <f>SUMIFS(JOURNAL!$I:$I,JOURNAL!$D:$D,$A52,JOURNAL!$C:$C,AF$5)</f>
        <v>0</v>
      </c>
      <c r="AH52" s="34">
        <f>INDEX(BUDGET!$A:$L,MATCH(A52,BUDGET!$A:$A,0),MATCH($AF$5,BUDGET!$5:$5,0))</f>
        <v>0</v>
      </c>
      <c r="AJ52" s="41">
        <f t="shared" ref="AJ52:AJ57" si="44">AF52-AH52</f>
        <v>0</v>
      </c>
      <c r="AK52" s="200">
        <f>SUMIFS(JOURNAL!$I:$I,JOURNAL!$D:$D,$A52,JOURNAL!$C:$C,AK$5)</f>
        <v>0</v>
      </c>
      <c r="AM52" s="34">
        <f>INDEX(BUDGET!$A:$N,MATCH(A52,BUDGET!$A:$A,0),MATCH($AK$5,BUDGET!$5:$5,0))</f>
        <v>0</v>
      </c>
      <c r="AO52" s="41">
        <f t="shared" ref="AO52:AO57" si="45">AK52-AM52</f>
        <v>0</v>
      </c>
      <c r="AP52" s="200">
        <f>SUMIFS(JOURNAL!$I:$I,JOURNAL!$D:$D,$A52,JOURNAL!$C:$C,AP$5)</f>
        <v>0</v>
      </c>
      <c r="AR52" s="34">
        <f>INDEX(BUDGET!$A:$P,MATCH($A52,BUDGET!$A:$A,0),MATCH($AP$5,BUDGET!$5:$5,0))</f>
        <v>0</v>
      </c>
      <c r="AT52" s="41">
        <f t="shared" ref="AT52:AT57" si="46">AP52-AR52</f>
        <v>0</v>
      </c>
      <c r="AU52" s="200">
        <f>SUMIFS(JOURNAL!$I:$I,JOURNAL!$D:$D,$A52,JOURNAL!$C:$C,AU$5)</f>
        <v>0</v>
      </c>
      <c r="AW52" s="34">
        <f>INDEX(BUDGET!$A:$R,MATCH($A52,BUDGET!$A:$A,0),MATCH($AU$5,BUDGET!$5:$5,0))</f>
        <v>0</v>
      </c>
      <c r="AY52" s="41">
        <f t="shared" ref="AY52:AY57" si="47">AU52-AW52</f>
        <v>0</v>
      </c>
    </row>
    <row r="53" spans="1:51" x14ac:dyDescent="0.25">
      <c r="A53" s="169" t="str">
        <f>'PLAN COMPTABLE'!C34</f>
        <v>4520 - Pensées Canadiennes</v>
      </c>
      <c r="B53" s="149">
        <f>SUMIFS(JOURNAL!$I:$I,JOURNAL!$D:$D,$A53,JOURNAL!$C:$C,B$5)</f>
        <v>0</v>
      </c>
      <c r="C53" s="168"/>
      <c r="D53" s="131">
        <f>INDEX(BUDGET!$A:$F,MATCH($A53,BUDGET!$A:$A,0),MATCH($B$5,BUDGET!$5:$5,0))</f>
        <v>0</v>
      </c>
      <c r="E53" s="168"/>
      <c r="F53" s="131">
        <f t="shared" si="39"/>
        <v>0</v>
      </c>
      <c r="G53" s="132"/>
      <c r="H53" s="168"/>
      <c r="I53" s="131">
        <f>SUMIFS(JOURNAL!$I:$I,JOURNAL!$D:$D,$A53,JOURNAL!$C:$C,I$5)</f>
        <v>0</v>
      </c>
      <c r="J53" s="168"/>
      <c r="K53" s="131">
        <f>INDEX(BUDGET!$A:$F,MATCH($A53,BUDGET!$A:$A,0),MATCH($I$5,BUDGET!$5:$5,0))</f>
        <v>0</v>
      </c>
      <c r="L53" s="168"/>
      <c r="M53" s="131">
        <f t="shared" si="40"/>
        <v>0</v>
      </c>
      <c r="N53" s="132"/>
      <c r="O53" s="131">
        <f>SUMIFS(JOURNAL!$I:$I,JOURNAL!$D:$D,$A53,JOURNAL!$C:$C,O$5)</f>
        <v>0</v>
      </c>
      <c r="P53" s="168"/>
      <c r="Q53" s="51">
        <f>INDEX(BUDGET!$A:$F,MATCH($A53,BUDGET!$A:$A,0),MATCH($O$5,BUDGET!$5:$5,0))</f>
        <v>0</v>
      </c>
      <c r="R53" s="168"/>
      <c r="S53" s="131">
        <f t="shared" si="41"/>
        <v>0</v>
      </c>
      <c r="U53" s="200">
        <f>SUMIFS(JOURNAL!$I:$I,JOURNAL!$D:$D,$A53,JOURNAL!$C:$C,U$5)</f>
        <v>0</v>
      </c>
      <c r="W53" s="34">
        <f>INDEX(BUDGET!$A:$H,MATCH($A53,BUDGET!$A:$A,0),MATCH($U$5,BUDGET!$5:$5,0))</f>
        <v>0</v>
      </c>
      <c r="Y53" s="41">
        <f t="shared" si="42"/>
        <v>0</v>
      </c>
      <c r="AA53" s="200">
        <f>SUMIFS(JOURNAL!$I:$I,JOURNAL!$D:$D,$A53,JOURNAL!$C:$C,AA$5)</f>
        <v>0</v>
      </c>
      <c r="AC53" s="34">
        <f>INDEX(BUDGET!$A:$J,MATCH($A53,BUDGET!$A:$A,0),MATCH($AA$5,BUDGET!$5:$5,0))</f>
        <v>0</v>
      </c>
      <c r="AE53" s="41">
        <f t="shared" si="43"/>
        <v>0</v>
      </c>
      <c r="AF53" s="200">
        <f>SUMIFS(JOURNAL!$I:$I,JOURNAL!$D:$D,$A53,JOURNAL!$C:$C,AF$5)</f>
        <v>0</v>
      </c>
      <c r="AH53" s="34">
        <f>INDEX(BUDGET!$A:$L,MATCH(A53,BUDGET!$A:$A,0),MATCH($AF$5,BUDGET!$5:$5,0))</f>
        <v>0</v>
      </c>
      <c r="AJ53" s="41">
        <f t="shared" si="44"/>
        <v>0</v>
      </c>
      <c r="AK53" s="200">
        <f>SUMIFS(JOURNAL!$I:$I,JOURNAL!$D:$D,$A53,JOURNAL!$C:$C,AK$5)</f>
        <v>0</v>
      </c>
      <c r="AM53" s="34">
        <f>INDEX(BUDGET!$A:$N,MATCH(A53,BUDGET!$A:$A,0),MATCH($AK$5,BUDGET!$5:$5,0))</f>
        <v>0</v>
      </c>
      <c r="AO53" s="41">
        <f t="shared" si="45"/>
        <v>0</v>
      </c>
      <c r="AP53" s="200">
        <f>SUMIFS(JOURNAL!$I:$I,JOURNAL!$D:$D,$A53,JOURNAL!$C:$C,AP$5)</f>
        <v>0</v>
      </c>
      <c r="AR53" s="34">
        <f>INDEX(BUDGET!$A:$P,MATCH($A53,BUDGET!$A:$A,0),MATCH($AP$5,BUDGET!$5:$5,0))</f>
        <v>0</v>
      </c>
      <c r="AT53" s="41">
        <f t="shared" si="46"/>
        <v>0</v>
      </c>
      <c r="AU53" s="200">
        <f>SUMIFS(JOURNAL!$I:$I,JOURNAL!$D:$D,$A53,JOURNAL!$C:$C,AU$5)</f>
        <v>0</v>
      </c>
      <c r="AW53" s="34">
        <f>INDEX(BUDGET!$A:$R,MATCH($A53,BUDGET!$A:$A,0),MATCH($AU$5,BUDGET!$5:$5,0))</f>
        <v>0</v>
      </c>
      <c r="AY53" s="41">
        <f t="shared" si="47"/>
        <v>0</v>
      </c>
    </row>
    <row r="54" spans="1:51" x14ac:dyDescent="0.25">
      <c r="A54" s="169" t="str">
        <f>'PLAN COMPTABLE'!C35</f>
        <v>4530 - Comité femmes de l'ADÉPUM</v>
      </c>
      <c r="B54" s="149">
        <f>SUMIFS(JOURNAL!$I:$I,JOURNAL!$D:$D,$A54,JOURNAL!$C:$C,B$5)</f>
        <v>0</v>
      </c>
      <c r="C54" s="168"/>
      <c r="D54" s="131">
        <f>INDEX(BUDGET!$A:$F,MATCH($A54,BUDGET!$A:$A,0),MATCH($B$5,BUDGET!$5:$5,0))</f>
        <v>0</v>
      </c>
      <c r="E54" s="168"/>
      <c r="F54" s="131">
        <f t="shared" si="39"/>
        <v>0</v>
      </c>
      <c r="G54" s="132"/>
      <c r="H54" s="168"/>
      <c r="I54" s="131">
        <f>SUMIFS(JOURNAL!$I:$I,JOURNAL!$D:$D,$A54,JOURNAL!$C:$C,I$5)</f>
        <v>0</v>
      </c>
      <c r="J54" s="168"/>
      <c r="K54" s="131">
        <f>INDEX(BUDGET!$A:$F,MATCH($A54,BUDGET!$A:$A,0),MATCH($I$5,BUDGET!$5:$5,0))</f>
        <v>0</v>
      </c>
      <c r="L54" s="168"/>
      <c r="M54" s="131">
        <f t="shared" si="40"/>
        <v>0</v>
      </c>
      <c r="N54" s="132"/>
      <c r="O54" s="131">
        <f>SUMIFS(JOURNAL!$I:$I,JOURNAL!$D:$D,$A54,JOURNAL!$C:$C,O$5)</f>
        <v>205</v>
      </c>
      <c r="P54" s="168"/>
      <c r="Q54" s="51">
        <f>INDEX(BUDGET!$A:$F,MATCH($A54,BUDGET!$A:$A,0),MATCH($O$5,BUDGET!$5:$5,0))</f>
        <v>1000</v>
      </c>
      <c r="R54" s="168"/>
      <c r="S54" s="131">
        <f t="shared" si="41"/>
        <v>-795</v>
      </c>
      <c r="U54" s="200">
        <f>SUMIFS(JOURNAL!$I:$I,JOURNAL!$D:$D,$A54,JOURNAL!$C:$C,U$5)</f>
        <v>121</v>
      </c>
      <c r="W54" s="34">
        <f>INDEX(BUDGET!$A:$H,MATCH($A54,BUDGET!$A:$A,0),MATCH($U$5,BUDGET!$5:$5,0))</f>
        <v>0</v>
      </c>
      <c r="Y54" s="41">
        <f t="shared" si="42"/>
        <v>121</v>
      </c>
      <c r="AA54" s="200">
        <f>SUMIFS(JOURNAL!$I:$I,JOURNAL!$D:$D,$A54,JOURNAL!$C:$C,AA$5)</f>
        <v>75</v>
      </c>
      <c r="AC54" s="34">
        <f>INDEX(BUDGET!$A:$J,MATCH($A54,BUDGET!$A:$A,0),MATCH($AA$5,BUDGET!$5:$5,0))</f>
        <v>0</v>
      </c>
      <c r="AE54" s="41">
        <f t="shared" si="43"/>
        <v>75</v>
      </c>
      <c r="AF54" s="200">
        <f>SUMIFS(JOURNAL!$I:$I,JOURNAL!$D:$D,$A54,JOURNAL!$C:$C,AF$5)</f>
        <v>1540</v>
      </c>
      <c r="AH54" s="34">
        <f>INDEX(BUDGET!$A:$L,MATCH(A54,BUDGET!$A:$A,0),MATCH($AF$5,BUDGET!$5:$5,0))</f>
        <v>0</v>
      </c>
      <c r="AJ54" s="41">
        <f t="shared" si="44"/>
        <v>1540</v>
      </c>
      <c r="AK54" s="200">
        <f>SUMIFS(JOURNAL!$I:$I,JOURNAL!$D:$D,$A54,JOURNAL!$C:$C,AK$5)</f>
        <v>242</v>
      </c>
      <c r="AM54" s="34">
        <f>INDEX(BUDGET!$A:$N,MATCH(A54,BUDGET!$A:$A,0),MATCH($AK$5,BUDGET!$5:$5,0))</f>
        <v>0</v>
      </c>
      <c r="AO54" s="41">
        <f t="shared" si="45"/>
        <v>242</v>
      </c>
      <c r="AP54" s="200">
        <f>SUMIFS(JOURNAL!$I:$I,JOURNAL!$D:$D,$A54,JOURNAL!$C:$C,AP$5)</f>
        <v>308</v>
      </c>
      <c r="AR54" s="34">
        <f>INDEX(BUDGET!$A:$P,MATCH($A54,BUDGET!$A:$A,0),MATCH($AP$5,BUDGET!$5:$5,0))</f>
        <v>0</v>
      </c>
      <c r="AT54" s="41">
        <f t="shared" si="46"/>
        <v>308</v>
      </c>
      <c r="AU54" s="200">
        <f>SUMIFS(JOURNAL!$I:$I,JOURNAL!$D:$D,$A54,JOURNAL!$C:$C,AU$5)</f>
        <v>44</v>
      </c>
      <c r="AW54" s="34">
        <f>INDEX(BUDGET!$A:$R,MATCH($A54,BUDGET!$A:$A,0),MATCH($AU$5,BUDGET!$5:$5,0))</f>
        <v>0</v>
      </c>
      <c r="AY54" s="41">
        <f t="shared" si="47"/>
        <v>44</v>
      </c>
    </row>
    <row r="55" spans="1:51" x14ac:dyDescent="0.25">
      <c r="A55" s="169" t="str">
        <f>'PLAN COMPTABLE'!C36</f>
        <v>4540 - Assemblées générales</v>
      </c>
      <c r="B55" s="149">
        <f>SUMIFS(JOURNAL!$I:$I,JOURNAL!$D:$D,$A55,JOURNAL!$C:$C,B$5)</f>
        <v>0</v>
      </c>
      <c r="C55" s="168"/>
      <c r="D55" s="131">
        <f>INDEX(BUDGET!$A:$F,MATCH($A55,BUDGET!$A:$A,0),MATCH($B$5,BUDGET!$5:$5,0))</f>
        <v>0</v>
      </c>
      <c r="E55" s="168"/>
      <c r="F55" s="131">
        <f t="shared" si="39"/>
        <v>0</v>
      </c>
      <c r="G55" s="132"/>
      <c r="H55" s="168"/>
      <c r="I55" s="131">
        <f>SUMIFS(JOURNAL!$I:$I,JOURNAL!$D:$D,$A55,JOURNAL!$C:$C,I$5)</f>
        <v>0</v>
      </c>
      <c r="J55" s="168"/>
      <c r="K55" s="131">
        <f>INDEX(BUDGET!$A:$F,MATCH($A55,BUDGET!$A:$A,0),MATCH($I$5,BUDGET!$5:$5,0))</f>
        <v>0</v>
      </c>
      <c r="L55" s="168"/>
      <c r="M55" s="131">
        <f t="shared" si="40"/>
        <v>0</v>
      </c>
      <c r="N55" s="132"/>
      <c r="O55" s="131">
        <f>SUMIFS(JOURNAL!$I:$I,JOURNAL!$D:$D,$A55,JOURNAL!$C:$C,O$5)</f>
        <v>0</v>
      </c>
      <c r="P55" s="168"/>
      <c r="Q55" s="51">
        <f>INDEX(BUDGET!$A:$F,MATCH($A55,BUDGET!$A:$A,0),MATCH($O$5,BUDGET!$5:$5,0))</f>
        <v>0</v>
      </c>
      <c r="R55" s="168"/>
      <c r="S55" s="131">
        <f t="shared" si="41"/>
        <v>0</v>
      </c>
      <c r="U55" s="200">
        <f>SUMIFS(JOURNAL!$I:$I,JOURNAL!$D:$D,$A55,JOURNAL!$C:$C,U$5)</f>
        <v>0</v>
      </c>
      <c r="W55" s="34">
        <f>INDEX(BUDGET!$A:$H,MATCH($A55,BUDGET!$A:$A,0),MATCH($U$5,BUDGET!$5:$5,0))</f>
        <v>0</v>
      </c>
      <c r="Y55" s="41">
        <f t="shared" si="42"/>
        <v>0</v>
      </c>
      <c r="AA55" s="200">
        <f>SUMIFS(JOURNAL!$I:$I,JOURNAL!$D:$D,$A55,JOURNAL!$C:$C,AA$5)</f>
        <v>0</v>
      </c>
      <c r="AC55" s="34">
        <f>INDEX(BUDGET!$A:$J,MATCH($A55,BUDGET!$A:$A,0),MATCH($AA$5,BUDGET!$5:$5,0))</f>
        <v>0</v>
      </c>
      <c r="AE55" s="41">
        <f t="shared" si="43"/>
        <v>0</v>
      </c>
      <c r="AF55" s="200">
        <f>SUMIFS(JOURNAL!$I:$I,JOURNAL!$D:$D,$A55,JOURNAL!$C:$C,AF$5)</f>
        <v>0</v>
      </c>
      <c r="AH55" s="34">
        <f>INDEX(BUDGET!$A:$L,MATCH(A55,BUDGET!$A:$A,0),MATCH($AF$5,BUDGET!$5:$5,0))</f>
        <v>0</v>
      </c>
      <c r="AJ55" s="41">
        <f t="shared" si="44"/>
        <v>0</v>
      </c>
      <c r="AK55" s="200">
        <f>SUMIFS(JOURNAL!$I:$I,JOURNAL!$D:$D,$A55,JOURNAL!$C:$C,AK$5)</f>
        <v>0</v>
      </c>
      <c r="AM55" s="34">
        <f>INDEX(BUDGET!$A:$N,MATCH(A55,BUDGET!$A:$A,0),MATCH($AK$5,BUDGET!$5:$5,0))</f>
        <v>0</v>
      </c>
      <c r="AO55" s="41">
        <f t="shared" si="45"/>
        <v>0</v>
      </c>
      <c r="AP55" s="200">
        <f>SUMIFS(JOURNAL!$I:$I,JOURNAL!$D:$D,$A55,JOURNAL!$C:$C,AP$5)</f>
        <v>0</v>
      </c>
      <c r="AR55" s="34">
        <f>INDEX(BUDGET!$A:$P,MATCH($A55,BUDGET!$A:$A,0),MATCH($AP$5,BUDGET!$5:$5,0))</f>
        <v>0</v>
      </c>
      <c r="AT55" s="41">
        <f t="shared" si="46"/>
        <v>0</v>
      </c>
      <c r="AU55" s="200">
        <f>SUMIFS(JOURNAL!$I:$I,JOURNAL!$D:$D,$A55,JOURNAL!$C:$C,AU$5)</f>
        <v>0</v>
      </c>
      <c r="AW55" s="34">
        <f>INDEX(BUDGET!$A:$R,MATCH($A55,BUDGET!$A:$A,0),MATCH($AU$5,BUDGET!$5:$5,0))</f>
        <v>0</v>
      </c>
      <c r="AY55" s="41">
        <f t="shared" si="47"/>
        <v>0</v>
      </c>
    </row>
    <row r="56" spans="1:51" x14ac:dyDescent="0.25">
      <c r="A56" s="169" t="str">
        <f>'PLAN COMPTABLE'!C37</f>
        <v>4550 - Café et thé</v>
      </c>
      <c r="B56" s="149">
        <f>SUMIFS(JOURNAL!$I:$I,JOURNAL!$D:$D,$A56,JOURNAL!$C:$C,B$5)</f>
        <v>0</v>
      </c>
      <c r="C56" s="168"/>
      <c r="D56" s="131">
        <f>INDEX(BUDGET!$A:$F,MATCH($A56,BUDGET!$A:$A,0),MATCH($B$5,BUDGET!$5:$5,0))</f>
        <v>0</v>
      </c>
      <c r="E56" s="168"/>
      <c r="F56" s="131">
        <f t="shared" si="39"/>
        <v>0</v>
      </c>
      <c r="G56" s="132"/>
      <c r="H56" s="168"/>
      <c r="I56" s="131">
        <f>SUMIFS(JOURNAL!$I:$I,JOURNAL!$D:$D,$A56,JOURNAL!$C:$C,I$5)</f>
        <v>0</v>
      </c>
      <c r="J56" s="168"/>
      <c r="K56" s="131">
        <f>INDEX(BUDGET!$A:$F,MATCH($A56,BUDGET!$A:$A,0),MATCH($I$5,BUDGET!$5:$5,0))</f>
        <v>0</v>
      </c>
      <c r="L56" s="168"/>
      <c r="M56" s="131">
        <f t="shared" si="40"/>
        <v>0</v>
      </c>
      <c r="N56" s="132"/>
      <c r="O56" s="131">
        <f>SUMIFS(JOURNAL!$I:$I,JOURNAL!$D:$D,$A56,JOURNAL!$C:$C,O$5)</f>
        <v>0</v>
      </c>
      <c r="P56" s="168"/>
      <c r="Q56" s="51">
        <f>INDEX(BUDGET!$A:$F,MATCH($A56,BUDGET!$A:$A,0),MATCH($O$5,BUDGET!$5:$5,0))</f>
        <v>0</v>
      </c>
      <c r="R56" s="168"/>
      <c r="S56" s="131">
        <f t="shared" si="41"/>
        <v>0</v>
      </c>
      <c r="U56" s="200">
        <f>SUMIFS(JOURNAL!$I:$I,JOURNAL!$D:$D,$A56,JOURNAL!$C:$C,U$5)</f>
        <v>0</v>
      </c>
      <c r="W56" s="34">
        <f>INDEX(BUDGET!$A:$H,MATCH($A56,BUDGET!$A:$A,0),MATCH($U$5,BUDGET!$5:$5,0))</f>
        <v>0</v>
      </c>
      <c r="Y56" s="41">
        <f t="shared" si="42"/>
        <v>0</v>
      </c>
      <c r="AA56" s="200">
        <f>SUMIFS(JOURNAL!$I:$I,JOURNAL!$D:$D,$A56,JOURNAL!$C:$C,AA$5)</f>
        <v>0</v>
      </c>
      <c r="AC56" s="34">
        <f>INDEX(BUDGET!$A:$J,MATCH($A56,BUDGET!$A:$A,0),MATCH($AA$5,BUDGET!$5:$5,0))</f>
        <v>0</v>
      </c>
      <c r="AE56" s="41">
        <f t="shared" si="43"/>
        <v>0</v>
      </c>
      <c r="AF56" s="200">
        <f>SUMIFS(JOURNAL!$I:$I,JOURNAL!$D:$D,$A56,JOURNAL!$C:$C,AF$5)</f>
        <v>0</v>
      </c>
      <c r="AH56" s="34">
        <f>INDEX(BUDGET!$A:$L,MATCH(A56,BUDGET!$A:$A,0),MATCH($AF$5,BUDGET!$5:$5,0))</f>
        <v>0</v>
      </c>
      <c r="AJ56" s="41">
        <f t="shared" si="44"/>
        <v>0</v>
      </c>
      <c r="AK56" s="200">
        <f>SUMIFS(JOURNAL!$I:$I,JOURNAL!$D:$D,$A56,JOURNAL!$C:$C,AK$5)</f>
        <v>0</v>
      </c>
      <c r="AM56" s="34">
        <f>INDEX(BUDGET!$A:$N,MATCH(A56,BUDGET!$A:$A,0),MATCH($AK$5,BUDGET!$5:$5,0))</f>
        <v>0</v>
      </c>
      <c r="AO56" s="41">
        <f t="shared" si="45"/>
        <v>0</v>
      </c>
      <c r="AP56" s="200">
        <f>SUMIFS(JOURNAL!$I:$I,JOURNAL!$D:$D,$A56,JOURNAL!$C:$C,AP$5)</f>
        <v>0</v>
      </c>
      <c r="AR56" s="34">
        <f>INDEX(BUDGET!$A:$P,MATCH($A56,BUDGET!$A:$A,0),MATCH($AP$5,BUDGET!$5:$5,0))</f>
        <v>0</v>
      </c>
      <c r="AT56" s="41">
        <f t="shared" si="46"/>
        <v>0</v>
      </c>
      <c r="AU56" s="200">
        <f>SUMIFS(JOURNAL!$I:$I,JOURNAL!$D:$D,$A56,JOURNAL!$C:$C,AU$5)</f>
        <v>0</v>
      </c>
      <c r="AW56" s="34">
        <f>INDEX(BUDGET!$A:$R,MATCH($A56,BUDGET!$A:$A,0),MATCH($AU$5,BUDGET!$5:$5,0))</f>
        <v>0</v>
      </c>
      <c r="AY56" s="41">
        <f t="shared" si="47"/>
        <v>0</v>
      </c>
    </row>
    <row r="57" spans="1:51" x14ac:dyDescent="0.25">
      <c r="A57" s="169" t="str">
        <f>'PLAN COMPTABLE'!C38</f>
        <v>4560 - Cadeaux aux secrétaires du Département de philosophie</v>
      </c>
      <c r="B57" s="149">
        <f>SUMIFS(JOURNAL!$I:$I,JOURNAL!$D:$D,$A57,JOURNAL!$C:$C,B$5)</f>
        <v>0</v>
      </c>
      <c r="C57" s="168"/>
      <c r="D57" s="131">
        <f>INDEX(BUDGET!$A:$F,MATCH($A57,BUDGET!$A:$A,0),MATCH($B$5,BUDGET!$5:$5,0))</f>
        <v>0</v>
      </c>
      <c r="E57" s="168"/>
      <c r="F57" s="131">
        <f t="shared" si="39"/>
        <v>0</v>
      </c>
      <c r="G57" s="132"/>
      <c r="H57" s="168"/>
      <c r="I57" s="131">
        <f>SUMIFS(JOURNAL!$I:$I,JOURNAL!$D:$D,$A57,JOURNAL!$C:$C,I$5)</f>
        <v>0</v>
      </c>
      <c r="J57" s="168"/>
      <c r="K57" s="131">
        <f>INDEX(BUDGET!$A:$F,MATCH($A57,BUDGET!$A:$A,0),MATCH($I$5,BUDGET!$5:$5,0))</f>
        <v>0</v>
      </c>
      <c r="L57" s="168"/>
      <c r="M57" s="131">
        <f t="shared" si="40"/>
        <v>0</v>
      </c>
      <c r="N57" s="132"/>
      <c r="O57" s="131">
        <f>SUMIFS(JOURNAL!$I:$I,JOURNAL!$D:$D,$A57,JOURNAL!$C:$C,O$5)</f>
        <v>0</v>
      </c>
      <c r="P57" s="168"/>
      <c r="Q57" s="51">
        <f>INDEX(BUDGET!$A:$F,MATCH($A57,BUDGET!$A:$A,0),MATCH($O$5,BUDGET!$5:$5,0))</f>
        <v>0</v>
      </c>
      <c r="R57" s="168"/>
      <c r="S57" s="131">
        <f t="shared" si="41"/>
        <v>0</v>
      </c>
      <c r="U57" s="200">
        <f>SUMIFS(JOURNAL!$I:$I,JOURNAL!$D:$D,$A57,JOURNAL!$C:$C,U$5)</f>
        <v>0</v>
      </c>
      <c r="W57" s="34">
        <f>INDEX(BUDGET!$A:$H,MATCH($A57,BUDGET!$A:$A,0),MATCH($U$5,BUDGET!$5:$5,0))</f>
        <v>0</v>
      </c>
      <c r="Y57" s="41">
        <f t="shared" si="42"/>
        <v>0</v>
      </c>
      <c r="AA57" s="200">
        <f>SUMIFS(JOURNAL!$I:$I,JOURNAL!$D:$D,$A57,JOURNAL!$C:$C,AA$5)</f>
        <v>0</v>
      </c>
      <c r="AC57" s="34">
        <f>INDEX(BUDGET!$A:$J,MATCH($A57,BUDGET!$A:$A,0),MATCH($AA$5,BUDGET!$5:$5,0))</f>
        <v>0</v>
      </c>
      <c r="AE57" s="41">
        <f t="shared" si="43"/>
        <v>0</v>
      </c>
      <c r="AF57" s="200">
        <f>SUMIFS(JOURNAL!$I:$I,JOURNAL!$D:$D,$A57,JOURNAL!$C:$C,AF$5)</f>
        <v>0</v>
      </c>
      <c r="AH57" s="34">
        <f>INDEX(BUDGET!$A:$L,MATCH(A57,BUDGET!$A:$A,0),MATCH($AF$5,BUDGET!$5:$5,0))</f>
        <v>0</v>
      </c>
      <c r="AJ57" s="41">
        <f t="shared" si="44"/>
        <v>0</v>
      </c>
      <c r="AK57" s="200">
        <f>SUMIFS(JOURNAL!$I:$I,JOURNAL!$D:$D,$A57,JOURNAL!$C:$C,AK$5)</f>
        <v>0</v>
      </c>
      <c r="AM57" s="34">
        <f>INDEX(BUDGET!$A:$N,MATCH(A57,BUDGET!$A:$A,0),MATCH($AK$5,BUDGET!$5:$5,0))</f>
        <v>0</v>
      </c>
      <c r="AO57" s="41">
        <f t="shared" si="45"/>
        <v>0</v>
      </c>
      <c r="AP57" s="200">
        <f>SUMIFS(JOURNAL!$I:$I,JOURNAL!$D:$D,$A57,JOURNAL!$C:$C,AP$5)</f>
        <v>0</v>
      </c>
      <c r="AR57" s="34">
        <f>INDEX(BUDGET!$A:$P,MATCH($A57,BUDGET!$A:$A,0),MATCH($AP$5,BUDGET!$5:$5,0))</f>
        <v>0</v>
      </c>
      <c r="AT57" s="41">
        <f t="shared" si="46"/>
        <v>0</v>
      </c>
      <c r="AU57" s="200">
        <f>SUMIFS(JOURNAL!$I:$I,JOURNAL!$D:$D,$A57,JOURNAL!$C:$C,AU$5)</f>
        <v>0</v>
      </c>
      <c r="AW57" s="34">
        <f>INDEX(BUDGET!$A:$R,MATCH($A57,BUDGET!$A:$A,0),MATCH($AU$5,BUDGET!$5:$5,0))</f>
        <v>0</v>
      </c>
      <c r="AY57" s="41">
        <f t="shared" si="47"/>
        <v>0</v>
      </c>
    </row>
    <row r="58" spans="1:51" ht="13" x14ac:dyDescent="0.3">
      <c r="A58" s="109" t="s">
        <v>114</v>
      </c>
      <c r="B58" s="155">
        <v>0</v>
      </c>
      <c r="C58" s="168"/>
      <c r="D58" s="111">
        <v>0</v>
      </c>
      <c r="E58" s="168"/>
      <c r="F58" s="111">
        <v>0</v>
      </c>
      <c r="G58" s="133"/>
      <c r="H58" s="168"/>
      <c r="I58" s="111">
        <v>0</v>
      </c>
      <c r="J58" s="168"/>
      <c r="K58" s="111">
        <v>0</v>
      </c>
      <c r="L58" s="168"/>
      <c r="M58" s="111">
        <v>0</v>
      </c>
      <c r="N58" s="133"/>
      <c r="O58" s="111">
        <v>0</v>
      </c>
      <c r="P58" s="168"/>
      <c r="Q58" s="111">
        <v>0</v>
      </c>
      <c r="R58" s="168"/>
      <c r="S58" s="111">
        <v>0</v>
      </c>
      <c r="U58" s="206">
        <f>SUM(U51:U57)</f>
        <v>121</v>
      </c>
      <c r="W58" s="207">
        <f>SUM(W51:W57)</f>
        <v>0</v>
      </c>
      <c r="Y58" s="198">
        <f>SUM(Y51:Y57)</f>
        <v>121</v>
      </c>
      <c r="AA58" s="206">
        <f>SUM(AA51:AA57)</f>
        <v>75</v>
      </c>
      <c r="AC58" s="207">
        <f>SUM(AC51:AC57)</f>
        <v>0</v>
      </c>
      <c r="AE58" s="198">
        <f>SUM(AE51:AE57)</f>
        <v>75</v>
      </c>
      <c r="AF58" s="206">
        <f>SUM(AF51:AF57)</f>
        <v>1540</v>
      </c>
      <c r="AH58" s="207">
        <f>SUM(AH51:AH57)</f>
        <v>0</v>
      </c>
      <c r="AJ58" s="198">
        <f>SUM(AJ51:AJ57)</f>
        <v>1540</v>
      </c>
      <c r="AK58" s="206">
        <f>SUM(AK51:AK57)</f>
        <v>242</v>
      </c>
      <c r="AM58" s="207">
        <f>SUM(AM51:AM57)</f>
        <v>0</v>
      </c>
      <c r="AO58" s="198">
        <f>SUM(AO51:AO57)</f>
        <v>242</v>
      </c>
      <c r="AP58" s="206">
        <f>SUM(AP51:AP57)</f>
        <v>308</v>
      </c>
      <c r="AR58" s="207">
        <f>SUM(AR51:AR57)</f>
        <v>0</v>
      </c>
      <c r="AT58" s="198">
        <f>SUM(AT51:AT57)</f>
        <v>308</v>
      </c>
      <c r="AU58" s="206">
        <f>SUM(AU51:AU57)</f>
        <v>44</v>
      </c>
      <c r="AW58" s="207">
        <f>SUM(AW51:AW57)</f>
        <v>0</v>
      </c>
      <c r="AY58" s="198">
        <f>SUM(AY51:AY57)</f>
        <v>44</v>
      </c>
    </row>
    <row r="59" spans="1:51" x14ac:dyDescent="0.25">
      <c r="B59" s="159"/>
      <c r="D59" s="55"/>
      <c r="F59" s="55"/>
      <c r="G59" s="56"/>
      <c r="I59" s="55"/>
      <c r="K59" s="55"/>
      <c r="M59" s="55"/>
      <c r="N59" s="56"/>
      <c r="O59" s="55"/>
      <c r="Q59" s="55"/>
      <c r="S59" s="55"/>
      <c r="U59" s="200"/>
      <c r="W59" s="34"/>
      <c r="AA59" s="200"/>
      <c r="AC59" s="34"/>
      <c r="AF59" s="200"/>
      <c r="AH59" s="34"/>
      <c r="AK59" s="200"/>
      <c r="AM59" s="34"/>
      <c r="AP59" s="200"/>
      <c r="AR59" s="34"/>
      <c r="AU59" s="200"/>
      <c r="AW59" s="34"/>
    </row>
    <row r="60" spans="1:51" x14ac:dyDescent="0.25">
      <c r="B60" s="159"/>
      <c r="D60" s="55"/>
      <c r="F60" s="55"/>
      <c r="G60" s="56"/>
      <c r="I60" s="55"/>
      <c r="K60" s="55"/>
      <c r="M60" s="55"/>
      <c r="N60" s="56"/>
      <c r="O60" s="55"/>
      <c r="Q60" s="55"/>
      <c r="S60" s="55"/>
      <c r="U60" s="200"/>
      <c r="W60" s="34"/>
      <c r="AA60" s="200"/>
      <c r="AC60" s="34"/>
      <c r="AF60" s="200"/>
      <c r="AH60" s="34"/>
      <c r="AK60" s="200"/>
      <c r="AM60" s="34"/>
      <c r="AP60" s="200"/>
      <c r="AR60" s="34"/>
      <c r="AU60" s="200"/>
      <c r="AW60" s="34"/>
    </row>
    <row r="61" spans="1:51" ht="16" thickBot="1" x14ac:dyDescent="0.4">
      <c r="A61" s="9" t="s">
        <v>117</v>
      </c>
      <c r="B61" s="161">
        <f>B20+B35+B41+B48+B58</f>
        <v>17258.079999999998</v>
      </c>
      <c r="C61" s="11"/>
      <c r="D61" s="151">
        <f>D20+D35+D41+D48+D58</f>
        <v>16886.73</v>
      </c>
      <c r="E61" s="11"/>
      <c r="F61" s="151">
        <f>B61-D61</f>
        <v>371.34999999999854</v>
      </c>
      <c r="G61" s="14"/>
      <c r="H61" s="11"/>
      <c r="I61" s="57">
        <f>I20+I35+I41+I48+I58</f>
        <v>17362.3</v>
      </c>
      <c r="J61" s="11"/>
      <c r="K61" s="57">
        <f>K20+K35+K41+K48+K58</f>
        <v>15581.55</v>
      </c>
      <c r="L61" s="11"/>
      <c r="M61" s="57">
        <f t="shared" si="29"/>
        <v>1780.75</v>
      </c>
      <c r="N61" s="14"/>
      <c r="O61" s="57">
        <f>O20+O35+O41+O48+O58</f>
        <v>15112.6</v>
      </c>
      <c r="P61" s="11"/>
      <c r="Q61" s="57">
        <f>Q20+Q35+Q41+Q48+Q58</f>
        <v>16391.400000000001</v>
      </c>
      <c r="R61" s="11"/>
      <c r="S61" s="57">
        <f t="shared" ref="S61" si="48">O61-Q61</f>
        <v>-1278.8000000000011</v>
      </c>
      <c r="U61" s="210">
        <f>U20+U35+U41+U48+U58</f>
        <v>11129.27</v>
      </c>
      <c r="W61" s="208" t="e">
        <f ca="1">W20+W35+W41+W48+W58</f>
        <v>#N/A</v>
      </c>
      <c r="Y61" s="209" t="e">
        <f ca="1">U61-W61</f>
        <v>#N/A</v>
      </c>
      <c r="AA61" s="210">
        <f>AA20+AA35+AA41+AA48+AA58</f>
        <v>11380</v>
      </c>
      <c r="AC61" s="208">
        <f>AC20+AC35+AC41+AC48+AC58</f>
        <v>19699.419999999998</v>
      </c>
      <c r="AE61" s="209">
        <f>AA61-AC61</f>
        <v>-8319.4199999999983</v>
      </c>
      <c r="AF61" s="210">
        <f>AF20+AF35+AF41+AF48+AF58</f>
        <v>12530.5</v>
      </c>
      <c r="AH61" s="208">
        <f>AH20+AH35+AH41+AH48+AH58</f>
        <v>22662.58</v>
      </c>
      <c r="AJ61" s="209">
        <f>AF61-AH61</f>
        <v>-10132.080000000002</v>
      </c>
      <c r="AK61" s="210">
        <f>AK20+AK35+AK41+AK48+AK58</f>
        <v>8454.81</v>
      </c>
      <c r="AM61" s="208">
        <f>AM20+AM35+AM41+AM48+AM58</f>
        <v>23540.68</v>
      </c>
      <c r="AO61" s="209">
        <f>AK61-AM61</f>
        <v>-15085.87</v>
      </c>
      <c r="AP61" s="210">
        <f>AP20+AP35+AP41+AP48+AP58</f>
        <v>14189</v>
      </c>
      <c r="AR61" s="208">
        <f>AR20+AR35+AR41+AR48+AR58</f>
        <v>24410</v>
      </c>
      <c r="AT61" s="209">
        <f>AP61-AR61</f>
        <v>-10221</v>
      </c>
      <c r="AU61" s="210">
        <f>AU20+AU35+AU41+AU48+AU58</f>
        <v>544</v>
      </c>
      <c r="AW61" s="208">
        <f>AW20+AW35+AW41+AW48+AW58</f>
        <v>24337</v>
      </c>
      <c r="AY61" s="209">
        <f>AU61-AW61</f>
        <v>-23793</v>
      </c>
    </row>
    <row r="62" spans="1:51" x14ac:dyDescent="0.25">
      <c r="B62" s="159"/>
      <c r="D62" s="55"/>
      <c r="F62" s="55"/>
      <c r="G62" s="56"/>
      <c r="I62" s="55"/>
      <c r="K62" s="55"/>
      <c r="M62" s="55"/>
      <c r="N62" s="56"/>
      <c r="O62" s="55"/>
      <c r="Q62" s="55"/>
      <c r="S62" s="55"/>
      <c r="U62" s="200"/>
      <c r="AA62" s="200"/>
      <c r="AF62" s="200"/>
      <c r="AK62" s="200"/>
      <c r="AP62" s="200"/>
      <c r="AU62" s="200"/>
    </row>
    <row r="63" spans="1:51" x14ac:dyDescent="0.25">
      <c r="B63" s="159"/>
      <c r="D63" s="55"/>
      <c r="F63" s="55"/>
      <c r="G63" s="56"/>
      <c r="I63" s="55"/>
      <c r="K63" s="55"/>
      <c r="M63" s="55"/>
      <c r="N63" s="56"/>
      <c r="O63" s="55"/>
      <c r="Q63" s="55"/>
      <c r="S63" s="55"/>
      <c r="U63" s="200"/>
      <c r="AA63" s="200"/>
      <c r="AF63" s="200"/>
      <c r="AK63" s="200"/>
      <c r="AP63" s="200"/>
      <c r="AU63" s="200"/>
    </row>
    <row r="64" spans="1:51" ht="15.5" x14ac:dyDescent="0.35">
      <c r="A64" s="113" t="s">
        <v>118</v>
      </c>
      <c r="B64" s="162"/>
      <c r="C64" s="115"/>
      <c r="D64" s="114"/>
      <c r="E64" s="115"/>
      <c r="F64" s="114"/>
      <c r="G64" s="134"/>
      <c r="H64" s="115"/>
      <c r="I64" s="114"/>
      <c r="J64" s="115"/>
      <c r="K64" s="114"/>
      <c r="L64" s="115"/>
      <c r="M64" s="114"/>
      <c r="N64" s="134"/>
      <c r="O64" s="114"/>
      <c r="P64" s="115"/>
      <c r="Q64" s="114"/>
      <c r="R64" s="115"/>
      <c r="S64" s="114"/>
      <c r="T64" s="196"/>
      <c r="U64" s="211"/>
      <c r="V64" s="196"/>
      <c r="W64" s="196"/>
      <c r="X64" s="196"/>
      <c r="Y64" s="196"/>
      <c r="AA64" s="211"/>
      <c r="AB64" s="196"/>
      <c r="AC64" s="196"/>
      <c r="AD64" s="196"/>
      <c r="AE64" s="196"/>
      <c r="AF64" s="211"/>
      <c r="AG64" s="196"/>
      <c r="AH64" s="196"/>
      <c r="AI64" s="196"/>
      <c r="AJ64" s="196"/>
      <c r="AK64" s="211"/>
      <c r="AL64" s="196"/>
      <c r="AM64" s="196"/>
      <c r="AN64" s="196"/>
      <c r="AO64" s="196"/>
      <c r="AP64" s="211"/>
      <c r="AQ64" s="196"/>
      <c r="AR64" s="196"/>
      <c r="AS64" s="196"/>
      <c r="AT64" s="196"/>
      <c r="AU64" s="211"/>
      <c r="AV64" s="196"/>
      <c r="AW64" s="196"/>
      <c r="AX64" s="196"/>
      <c r="AY64" s="196"/>
    </row>
    <row r="65" spans="1:51" x14ac:dyDescent="0.25">
      <c r="B65" s="159"/>
      <c r="D65" s="55"/>
      <c r="F65" s="55"/>
      <c r="G65" s="56"/>
      <c r="I65" s="55"/>
      <c r="K65" s="55"/>
      <c r="M65" s="55"/>
      <c r="N65" s="56"/>
      <c r="O65" s="55"/>
      <c r="Q65" s="55"/>
      <c r="S65" s="55"/>
      <c r="U65" s="200"/>
      <c r="AA65" s="200"/>
      <c r="AF65" s="200"/>
      <c r="AK65" s="200"/>
      <c r="AP65" s="200"/>
      <c r="AU65" s="200"/>
    </row>
    <row r="66" spans="1:51" ht="13" x14ac:dyDescent="0.25">
      <c r="A66" s="30" t="s">
        <v>119</v>
      </c>
      <c r="B66" s="160"/>
      <c r="D66" s="49"/>
      <c r="F66" s="49"/>
      <c r="G66" s="50"/>
      <c r="I66" s="49"/>
      <c r="K66" s="49"/>
      <c r="M66" s="49"/>
      <c r="N66" s="50"/>
      <c r="O66" s="49"/>
      <c r="Q66" s="49"/>
      <c r="S66" s="49"/>
      <c r="U66" s="200"/>
      <c r="AA66" s="200"/>
      <c r="AF66" s="200"/>
      <c r="AK66" s="200"/>
      <c r="AP66" s="200"/>
      <c r="AU66" s="200"/>
    </row>
    <row r="67" spans="1:51" x14ac:dyDescent="0.25">
      <c r="A67" s="37" t="str">
        <f>'PLAN COMPTABLE'!C39</f>
        <v>5100 - Matériel et fournitures</v>
      </c>
      <c r="B67" s="147">
        <f>SUMIFS(JOURNAL!$I:$I,JOURNAL!$D:$D,$A67,JOURNAL!$C:$C,B$5)</f>
        <v>144</v>
      </c>
      <c r="D67" s="147">
        <f>INDEX(BUDGET!$A:$F,MATCH($A67,BUDGET!$A:$A,0),MATCH($B$5,BUDGET!$5:$5,0))</f>
        <v>200</v>
      </c>
      <c r="F67" s="147">
        <f t="shared" ref="F67:F73" si="49">B67-D67</f>
        <v>-56</v>
      </c>
      <c r="G67" s="52"/>
      <c r="I67" s="51">
        <f>SUMIFS(JOURNAL!$I:$I,JOURNAL!$D:$D,$A67,JOURNAL!$C:$C,I$5)</f>
        <v>113.13</v>
      </c>
      <c r="K67" s="51">
        <f>INDEX(BUDGET!$A:$F,MATCH($A67,BUDGET!$A:$A,0),MATCH($I$5,BUDGET!$5:$5,0))</f>
        <v>150</v>
      </c>
      <c r="M67" s="51">
        <f t="shared" ref="M67:M73" si="50">I67-K67</f>
        <v>-36.870000000000005</v>
      </c>
      <c r="N67" s="52"/>
      <c r="O67" s="51">
        <f>SUMIFS(JOURNAL!$I:$I,JOURNAL!$D:$D,$A67,JOURNAL!$C:$C,O$5)</f>
        <v>110.96000000000001</v>
      </c>
      <c r="Q67" s="51">
        <f>INDEX(BUDGET!$A:$F,MATCH($A67,BUDGET!$A:$A,0),MATCH($O$5,BUDGET!$5:$5,0))</f>
        <v>150</v>
      </c>
      <c r="S67" s="51">
        <f t="shared" ref="S67:S73" si="51">O67-Q67</f>
        <v>-39.039999999999992</v>
      </c>
      <c r="U67" s="200">
        <f>SUMIFS(JOURNAL!$I:$I,JOURNAL!$D:$D,$A67,JOURNAL!$C:$C,U$5)</f>
        <v>151.03</v>
      </c>
      <c r="W67" s="41">
        <f>INDEX(BUDGET!$A:$H,MATCH($A67,BUDGET!$A:$A,0),MATCH($U$5,BUDGET!$5:$5,0))</f>
        <v>150</v>
      </c>
      <c r="Y67" s="41">
        <f>U67-W67</f>
        <v>1.0300000000000011</v>
      </c>
      <c r="AA67" s="200">
        <f>SUMIFS(JOURNAL!$I:$I,JOURNAL!$D:$D,$A67,JOURNAL!$C:$C,AA$5)</f>
        <v>0</v>
      </c>
      <c r="AC67" s="41">
        <f>INDEX(BUDGET!$A:$J,MATCH($A67,BUDGET!$A:$A,0),MATCH($AA$5,BUDGET!$5:$5,0))</f>
        <v>300</v>
      </c>
      <c r="AE67" s="41">
        <f>AA67-AC67</f>
        <v>-300</v>
      </c>
      <c r="AF67" s="200">
        <f>SUMIFS(JOURNAL!$I:$I,JOURNAL!$D:$D,$A67,JOURNAL!$C:$C,AF$5)</f>
        <v>136.43</v>
      </c>
      <c r="AH67" s="41">
        <f>INDEX(BUDGET!$A:$L,MATCH($A67,BUDGET!$A:$A,0),MATCH($AF$5,BUDGET!$5:$5,0))</f>
        <v>300</v>
      </c>
      <c r="AJ67" s="41">
        <f>AF67-AH67</f>
        <v>-163.57</v>
      </c>
      <c r="AK67" s="200">
        <f>SUMIFS(JOURNAL!$I:$I,JOURNAL!$D:$D,$A67,JOURNAL!$C:$C,AK$5)</f>
        <v>0</v>
      </c>
      <c r="AM67" s="41">
        <f>INDEX(BUDGET!$A:$N,MATCH($A67,BUDGET!$A:$A,0),MATCH($AK$5,BUDGET!$5:$5,0))</f>
        <v>300</v>
      </c>
      <c r="AO67" s="41">
        <f>AK67-AM67</f>
        <v>-300</v>
      </c>
      <c r="AP67" s="200">
        <f>SUMIFS(JOURNAL!$I:$I,JOURNAL!$D:$D,$A67,JOURNAL!$C:$C,AP$5)</f>
        <v>252.60999999999999</v>
      </c>
      <c r="AR67" s="41">
        <f>INDEX(BUDGET!$A:$P,MATCH($A67,BUDGET!$A:$A,0),MATCH($AP$5,BUDGET!$5:$5,0))</f>
        <v>400</v>
      </c>
      <c r="AT67" s="41">
        <f>AP67-AR67</f>
        <v>-147.39000000000001</v>
      </c>
      <c r="AU67" s="200">
        <f>SUMIFS(JOURNAL!$I:$I,JOURNAL!$D:$D,$A67,JOURNAL!$C:$C,AU$5)</f>
        <v>3.45</v>
      </c>
      <c r="AW67" s="41">
        <f>INDEX(BUDGET!$A:$R,MATCH($A67,BUDGET!$A:$A,0),MATCH($AU$5,BUDGET!$5:$5,0))</f>
        <v>400</v>
      </c>
      <c r="AY67" s="41">
        <f>AU67-AW67</f>
        <v>-396.55</v>
      </c>
    </row>
    <row r="68" spans="1:51" x14ac:dyDescent="0.25">
      <c r="A68" s="37" t="str">
        <f>'PLAN COMPTABLE'!C40</f>
        <v>5110 - Imprimante</v>
      </c>
      <c r="B68" s="147">
        <f>SUMIFS(JOURNAL!$I:$I,JOURNAL!$D:$D,$A68,JOURNAL!$C:$C,B$5)</f>
        <v>0</v>
      </c>
      <c r="D68" s="147">
        <f>INDEX(BUDGET!$A:$F,MATCH($A68,BUDGET!$A:$A,0),MATCH($B$5,BUDGET!$5:$5,0))</f>
        <v>200</v>
      </c>
      <c r="F68" s="147">
        <f t="shared" si="49"/>
        <v>-200</v>
      </c>
      <c r="G68" s="52"/>
      <c r="I68" s="51">
        <f>SUMIFS(JOURNAL!$I:$I,JOURNAL!$D:$D,$A68,JOURNAL!$C:$C,I$5)</f>
        <v>132.55000000000001</v>
      </c>
      <c r="K68" s="51">
        <f>INDEX(BUDGET!$A:$F,MATCH($A68,BUDGET!$A:$A,0),MATCH($I$5,BUDGET!$5:$5,0))</f>
        <v>150</v>
      </c>
      <c r="M68" s="51">
        <f t="shared" si="50"/>
        <v>-17.449999999999989</v>
      </c>
      <c r="N68" s="52"/>
      <c r="O68" s="51">
        <f>SUMIFS(JOURNAL!$I:$I,JOURNAL!$D:$D,$A68,JOURNAL!$C:$C,O$5)</f>
        <v>75.87</v>
      </c>
      <c r="Q68" s="51">
        <f>INDEX(BUDGET!$A:$F,MATCH($A68,BUDGET!$A:$A,0),MATCH($O$5,BUDGET!$5:$5,0))</f>
        <v>150</v>
      </c>
      <c r="S68" s="51">
        <f t="shared" si="51"/>
        <v>-74.13</v>
      </c>
      <c r="U68" s="200">
        <f>SUMIFS(JOURNAL!$I:$I,JOURNAL!$D:$D,$A68,JOURNAL!$C:$C,U$5)</f>
        <v>0</v>
      </c>
      <c r="W68" s="41">
        <f>INDEX(BUDGET!$A:$H,MATCH($A68,BUDGET!$A:$A,0),MATCH($U$5,BUDGET!$5:$5,0))</f>
        <v>100</v>
      </c>
      <c r="Y68" s="41">
        <f t="shared" ref="Y68:Y72" si="52">U68-W68</f>
        <v>-100</v>
      </c>
      <c r="AA68" s="200">
        <f>SUMIFS(JOURNAL!$I:$I,JOURNAL!$D:$D,$A68,JOURNAL!$C:$C,AA$5)</f>
        <v>0</v>
      </c>
      <c r="AC68" s="41">
        <f>INDEX(BUDGET!$A:$J,MATCH($A68,BUDGET!$A:$A,0),MATCH($AA$5,BUDGET!$5:$5,0))</f>
        <v>150</v>
      </c>
      <c r="AE68" s="41">
        <f>AA68-AC68</f>
        <v>-150</v>
      </c>
      <c r="AF68" s="200">
        <f>SUMIFS(JOURNAL!$I:$I,JOURNAL!$D:$D,$A68,JOURNAL!$C:$C,AF$5)</f>
        <v>0</v>
      </c>
      <c r="AH68" s="41">
        <f>INDEX(BUDGET!$A:$L,MATCH($A68,BUDGET!$A:$A,0),MATCH($AF$5,BUDGET!$5:$5,0))</f>
        <v>150</v>
      </c>
      <c r="AJ68" s="41">
        <f>AF68-AH68</f>
        <v>-150</v>
      </c>
      <c r="AK68" s="200">
        <f>SUMIFS(JOURNAL!$I:$I,JOURNAL!$D:$D,$A68,JOURNAL!$C:$C,AK$5)</f>
        <v>0</v>
      </c>
      <c r="AM68" s="41">
        <f>INDEX(BUDGET!$A:$N,MATCH($A68,BUDGET!$A:$A,0),MATCH($AK$5,BUDGET!$5:$5,0))</f>
        <v>150</v>
      </c>
      <c r="AO68" s="41">
        <f>AK68-AM68</f>
        <v>-150</v>
      </c>
      <c r="AP68" s="200">
        <f>SUMIFS(JOURNAL!$I:$I,JOURNAL!$D:$D,$A68,JOURNAL!$C:$C,AP$5)</f>
        <v>0</v>
      </c>
      <c r="AR68" s="41">
        <f>INDEX(BUDGET!$A:$P,MATCH($A68,BUDGET!$A:$A,0),MATCH($AP$5,BUDGET!$5:$5,0))</f>
        <v>150</v>
      </c>
      <c r="AT68" s="41">
        <f>AP68-AR68</f>
        <v>-150</v>
      </c>
      <c r="AU68" s="200">
        <f>SUMIFS(JOURNAL!$I:$I,JOURNAL!$D:$D,$A68,JOURNAL!$C:$C,AU$5)</f>
        <v>35.630000000000003</v>
      </c>
      <c r="AW68" s="41">
        <f>INDEX(BUDGET!$A:$R,MATCH($A68,BUDGET!$A:$A,0),MATCH($AU$5,BUDGET!$5:$5,0))</f>
        <v>150</v>
      </c>
      <c r="AY68" s="41">
        <f>AU68-AW68</f>
        <v>-114.37</v>
      </c>
    </row>
    <row r="69" spans="1:51" x14ac:dyDescent="0.25">
      <c r="A69" s="37" t="str">
        <f>'PLAN COMPTABLE'!C41</f>
        <v>5115 - Site Internet de l'ADEPUM</v>
      </c>
      <c r="B69" s="147">
        <v>0</v>
      </c>
      <c r="D69" s="147">
        <v>0</v>
      </c>
      <c r="F69" s="147">
        <v>0</v>
      </c>
      <c r="G69" s="52"/>
      <c r="I69" s="51">
        <v>0</v>
      </c>
      <c r="K69" s="51">
        <v>0</v>
      </c>
      <c r="M69" s="51">
        <v>0</v>
      </c>
      <c r="N69" s="52"/>
      <c r="O69" s="51">
        <v>0</v>
      </c>
      <c r="Q69" s="51">
        <v>0</v>
      </c>
      <c r="S69" s="51">
        <v>0</v>
      </c>
      <c r="U69" s="200">
        <v>0</v>
      </c>
      <c r="W69" s="41">
        <v>0</v>
      </c>
      <c r="Y69" s="41">
        <v>0</v>
      </c>
      <c r="AA69" s="200">
        <v>0</v>
      </c>
      <c r="AC69" s="41">
        <v>150</v>
      </c>
      <c r="AE69" s="41">
        <f>AA69-AC69</f>
        <v>-150</v>
      </c>
      <c r="AF69" s="200">
        <f>SUMIFS(JOURNAL!$I:$I,JOURNAL!$D:$D,$A69,JOURNAL!$C:$C,AF$5)</f>
        <v>408.74</v>
      </c>
      <c r="AH69" s="41">
        <f>INDEX(BUDGET!$A:$L,MATCH($A69,BUDGET!$A:$A,0),MATCH($AF$5,BUDGET!$5:$5,0))</f>
        <v>300</v>
      </c>
      <c r="AJ69" s="41">
        <f>AF69-AH69</f>
        <v>108.74000000000001</v>
      </c>
      <c r="AK69" s="200">
        <f>SUMIFS(JOURNAL!$I:$I,JOURNAL!$D:$D,$A69,JOURNAL!$C:$C,AK$5)</f>
        <v>401.96</v>
      </c>
      <c r="AM69" s="41">
        <f>INDEX(BUDGET!$A:$N,MATCH($A69,BUDGET!$A:$A,0),MATCH($AK$5,BUDGET!$5:$5,0))</f>
        <v>300</v>
      </c>
      <c r="AO69" s="41">
        <f>AK69-AM69</f>
        <v>101.95999999999998</v>
      </c>
      <c r="AP69" s="200">
        <f>SUMIFS(JOURNAL!$I:$I,JOURNAL!$D:$D,$A69,JOURNAL!$C:$C,AP$5)</f>
        <v>503.22</v>
      </c>
      <c r="AR69" s="41">
        <f>INDEX(BUDGET!$A:$P,MATCH($A69,BUDGET!$A:$A,0),MATCH($AP$5,BUDGET!$5:$5,0))</f>
        <v>400</v>
      </c>
      <c r="AT69" s="41">
        <f>AP69-AR69</f>
        <v>103.22000000000003</v>
      </c>
      <c r="AU69" s="200">
        <f>SUMIFS(JOURNAL!$I:$I,JOURNAL!$D:$D,$A69,JOURNAL!$C:$C,AU$5)</f>
        <v>75.739999999999995</v>
      </c>
      <c r="AW69" s="41">
        <f>INDEX(BUDGET!$A:$R,MATCH($A69,BUDGET!$A:$A,0),MATCH($AU$5,BUDGET!$5:$5,0))</f>
        <v>100</v>
      </c>
      <c r="AY69" s="41">
        <f>AU69-AW69</f>
        <v>-24.260000000000005</v>
      </c>
    </row>
    <row r="70" spans="1:51" x14ac:dyDescent="0.25">
      <c r="A70" s="37" t="str">
        <f>'PLAN COMPTABLE'!C42</f>
        <v>5120 - Registraire des entreprises du Québec</v>
      </c>
      <c r="B70" s="147">
        <f>SUMIFS(JOURNAL!$I:$I,JOURNAL!$D:$D,$A70,JOURNAL!$C:$C,B$5)</f>
        <v>37</v>
      </c>
      <c r="D70" s="147">
        <f>INDEX(BUDGET!$A:$F,MATCH($A70,BUDGET!$A:$A,0),MATCH($B$5,BUDGET!$5:$5,0))</f>
        <v>40</v>
      </c>
      <c r="F70" s="147">
        <f t="shared" si="49"/>
        <v>-3</v>
      </c>
      <c r="G70" s="52"/>
      <c r="I70" s="51">
        <f>SUMIFS(JOURNAL!$I:$I,JOURNAL!$D:$D,$A70,JOURNAL!$C:$C,I$5)</f>
        <v>0</v>
      </c>
      <c r="K70" s="51">
        <f>INDEX(BUDGET!$A:$F,MATCH($A70,BUDGET!$A:$A,0),MATCH($I$5,BUDGET!$5:$5,0))</f>
        <v>40</v>
      </c>
      <c r="M70" s="51">
        <f t="shared" si="50"/>
        <v>-40</v>
      </c>
      <c r="N70" s="52"/>
      <c r="O70" s="51">
        <f>SUMIFS(JOURNAL!$I:$I,JOURNAL!$D:$D,$A70,JOURNAL!$C:$C,O$5)</f>
        <v>35.92</v>
      </c>
      <c r="Q70" s="51">
        <f>INDEX(BUDGET!$A:$F,MATCH($A70,BUDGET!$A:$A,0),MATCH($O$5,BUDGET!$5:$5,0))</f>
        <v>40</v>
      </c>
      <c r="S70" s="51">
        <f t="shared" si="51"/>
        <v>-4.0799999999999983</v>
      </c>
      <c r="U70" s="200">
        <f>SUMIFS(JOURNAL!$I:$I,JOURNAL!$D:$D,$A70,JOURNAL!$C:$C,U$5)</f>
        <v>0</v>
      </c>
      <c r="W70" s="41">
        <f>INDEX(BUDGET!$A:$H,MATCH($A70,BUDGET!$A:$A,0),MATCH($U$5,BUDGET!$5:$5,0))</f>
        <v>40</v>
      </c>
      <c r="Y70" s="41">
        <f t="shared" si="52"/>
        <v>-40</v>
      </c>
      <c r="AA70" s="200">
        <f>SUMIFS(JOURNAL!$I:$I,JOURNAL!$D:$D,$A70,JOURNAL!$C:$C,AA$5)</f>
        <v>0</v>
      </c>
      <c r="AC70" s="41">
        <f>INDEX(BUDGET!$A:$J,MATCH($A70,BUDGET!$A:$A,0),MATCH($AA$5,BUDGET!$5:$5,0))</f>
        <v>40</v>
      </c>
      <c r="AE70" s="41">
        <f t="shared" ref="AE70:AE72" si="53">AA70-AC70</f>
        <v>-40</v>
      </c>
      <c r="AF70" s="200">
        <f>SUMIFS(JOURNAL!$I:$I,JOURNAL!$D:$D,$A70,JOURNAL!$C:$C,AF$5)</f>
        <v>0</v>
      </c>
      <c r="AH70" s="41">
        <f>INDEX(BUDGET!$A:$L,MATCH($A70,BUDGET!$A:$A,0),MATCH($AF$5,BUDGET!$5:$5,0))</f>
        <v>40</v>
      </c>
      <c r="AJ70" s="41">
        <f t="shared" ref="AJ70:AJ72" si="54">AF70-AH70</f>
        <v>-40</v>
      </c>
      <c r="AK70" s="200">
        <f>SUMIFS(JOURNAL!$I:$I,JOURNAL!$D:$D,$A70,JOURNAL!$C:$C,AK$5)</f>
        <v>0</v>
      </c>
      <c r="AM70" s="41">
        <f>INDEX(BUDGET!$A:$N,MATCH($A70,BUDGET!$A:$A,0),MATCH($AK$5,BUDGET!$5:$5,0))</f>
        <v>40</v>
      </c>
      <c r="AO70" s="41">
        <f t="shared" ref="AO70:AO72" si="55">AK70-AM70</f>
        <v>-40</v>
      </c>
      <c r="AP70" s="200">
        <f>SUMIFS(JOURNAL!$I:$I,JOURNAL!$D:$D,$A70,JOURNAL!$C:$C,AP$5)</f>
        <v>0</v>
      </c>
      <c r="AR70" s="41">
        <f>INDEX(BUDGET!$A:$P,MATCH($A70,BUDGET!$A:$A,0),MATCH($AP$5,BUDGET!$5:$5,0))</f>
        <v>40</v>
      </c>
      <c r="AT70" s="41">
        <f t="shared" ref="AT70:AT72" si="56">AP70-AR70</f>
        <v>-40</v>
      </c>
      <c r="AU70" s="200">
        <f>SUMIFS(JOURNAL!$I:$I,JOURNAL!$D:$D,$A70,JOURNAL!$C:$C,AU$5)</f>
        <v>40.76</v>
      </c>
      <c r="AW70" s="41">
        <f>INDEX(BUDGET!$A:$R,MATCH($A70,BUDGET!$A:$A,0),MATCH($AU$5,BUDGET!$5:$5,0))</f>
        <v>40</v>
      </c>
      <c r="AY70" s="41">
        <f t="shared" ref="AY70:AY72" si="57">AU70-AW70</f>
        <v>0.75999999999999801</v>
      </c>
    </row>
    <row r="71" spans="1:51" x14ac:dyDescent="0.25">
      <c r="A71" s="37" t="str">
        <f>'PLAN COMPTABLE'!C43</f>
        <v>5130 - Déclarations d'impôts</v>
      </c>
      <c r="B71" s="147">
        <f>SUMIFS(JOURNAL!$I:$I,JOURNAL!$D:$D,$A71,JOURNAL!$C:$C,B$5)</f>
        <v>3.54</v>
      </c>
      <c r="D71" s="147">
        <f>INDEX(BUDGET!$A:$F,MATCH($A71,BUDGET!$A:$A,0),MATCH($B$5,BUDGET!$5:$5,0))</f>
        <v>100</v>
      </c>
      <c r="F71" s="147">
        <f t="shared" si="49"/>
        <v>-96.46</v>
      </c>
      <c r="G71" s="52"/>
      <c r="I71" s="51">
        <f>SUMIFS(JOURNAL!$I:$I,JOURNAL!$D:$D,$A71,JOURNAL!$C:$C,I$5)</f>
        <v>0</v>
      </c>
      <c r="K71" s="51">
        <f>INDEX(BUDGET!$A:$F,MATCH($A71,BUDGET!$A:$A,0),MATCH($I$5,BUDGET!$5:$5,0))</f>
        <v>100</v>
      </c>
      <c r="M71" s="51">
        <f t="shared" si="50"/>
        <v>-100</v>
      </c>
      <c r="N71" s="52"/>
      <c r="O71" s="51">
        <f>SUMIFS(JOURNAL!$I:$I,JOURNAL!$D:$D,$A71,JOURNAL!$C:$C,O$5)</f>
        <v>56.19</v>
      </c>
      <c r="Q71" s="51">
        <f>INDEX(BUDGET!$A:$F,MATCH($A71,BUDGET!$A:$A,0),MATCH($O$5,BUDGET!$5:$5,0))</f>
        <v>100</v>
      </c>
      <c r="S71" s="51">
        <f t="shared" si="51"/>
        <v>-43.81</v>
      </c>
      <c r="U71" s="200">
        <f>SUMIFS(JOURNAL!$I:$I,JOURNAL!$D:$D,$A71,JOURNAL!$C:$C,U$5)</f>
        <v>0</v>
      </c>
      <c r="W71" s="41">
        <f>INDEX(BUDGET!$A:$H,MATCH($A71,BUDGET!$A:$A,0),MATCH($U$5,BUDGET!$5:$5,0))</f>
        <v>100</v>
      </c>
      <c r="Y71" s="41">
        <f t="shared" si="52"/>
        <v>-100</v>
      </c>
      <c r="AA71" s="200">
        <f>SUMIFS(JOURNAL!$I:$I,JOURNAL!$D:$D,$A71,JOURNAL!$C:$C,AA$5)</f>
        <v>0</v>
      </c>
      <c r="AC71" s="41">
        <f>INDEX(BUDGET!$A:$J,MATCH($A71,BUDGET!$A:$A,0),MATCH($AA$5,BUDGET!$5:$5,0))</f>
        <v>100</v>
      </c>
      <c r="AE71" s="41">
        <f t="shared" si="53"/>
        <v>-100</v>
      </c>
      <c r="AF71" s="200">
        <f>SUMIFS(JOURNAL!$I:$I,JOURNAL!$D:$D,$A71,JOURNAL!$C:$C,AF$5)</f>
        <v>0</v>
      </c>
      <c r="AH71" s="41">
        <f>INDEX(BUDGET!$A:$L,MATCH($A71,BUDGET!$A:$A,0),MATCH($AF$5,BUDGET!$5:$5,0))</f>
        <v>100</v>
      </c>
      <c r="AJ71" s="41">
        <f t="shared" si="54"/>
        <v>-100</v>
      </c>
      <c r="AK71" s="200">
        <f>SUMIFS(JOURNAL!$I:$I,JOURNAL!$D:$D,$A71,JOURNAL!$C:$C,AK$5)</f>
        <v>0</v>
      </c>
      <c r="AM71" s="41">
        <f>INDEX(BUDGET!$A:$N,MATCH($A71,BUDGET!$A:$A,0),MATCH($AK$5,BUDGET!$5:$5,0))</f>
        <v>100</v>
      </c>
      <c r="AO71" s="41">
        <f t="shared" si="55"/>
        <v>-100</v>
      </c>
      <c r="AP71" s="200">
        <f>SUMIFS(JOURNAL!$I:$I,JOURNAL!$D:$D,$A71,JOURNAL!$C:$C,AP$5)</f>
        <v>0</v>
      </c>
      <c r="AR71" s="41">
        <f>INDEX(BUDGET!$A:$P,MATCH($A71,BUDGET!$A:$A,0),MATCH($AP$5,BUDGET!$5:$5,0))</f>
        <v>100</v>
      </c>
      <c r="AT71" s="41">
        <f t="shared" si="56"/>
        <v>-100</v>
      </c>
      <c r="AU71" s="200">
        <f>SUMIFS(JOURNAL!$I:$I,JOURNAL!$D:$D,$A71,JOURNAL!$C:$C,AU$5)</f>
        <v>0</v>
      </c>
      <c r="AW71" s="41">
        <f>INDEX(BUDGET!$A:$R,MATCH($A71,BUDGET!$A:$A,0),MATCH($AU$5,BUDGET!$5:$5,0))</f>
        <v>100</v>
      </c>
      <c r="AY71" s="41">
        <f t="shared" si="57"/>
        <v>-100</v>
      </c>
    </row>
    <row r="72" spans="1:51" x14ac:dyDescent="0.25">
      <c r="A72" s="37" t="str">
        <f>'PLAN COMPTABLE'!C44</f>
        <v>5140 - Frais bancaires</v>
      </c>
      <c r="B72" s="147">
        <f>SUMIFS(JOURNAL!$I:$I,JOURNAL!$D:$D,$A72,JOURNAL!$C:$C,B$5)</f>
        <v>0</v>
      </c>
      <c r="D72" s="147">
        <f>INDEX(BUDGET!$A:$F,MATCH($A72,BUDGET!$A:$A,0),MATCH($B$5,BUDGET!$5:$5,0))</f>
        <v>100</v>
      </c>
      <c r="F72" s="147">
        <f t="shared" si="49"/>
        <v>-100</v>
      </c>
      <c r="G72" s="52"/>
      <c r="I72" s="51">
        <f>SUMIFS(JOURNAL!$I:$I,JOURNAL!$D:$D,$A72,JOURNAL!$C:$C,I$5)</f>
        <v>95.15</v>
      </c>
      <c r="K72" s="51">
        <f>INDEX(BUDGET!$A:$F,MATCH($A72,BUDGET!$A:$A,0),MATCH($I$5,BUDGET!$5:$5,0))</f>
        <v>100</v>
      </c>
      <c r="M72" s="51">
        <f t="shared" si="50"/>
        <v>-4.8499999999999943</v>
      </c>
      <c r="N72" s="52"/>
      <c r="O72" s="51">
        <f>SUMIFS(JOURNAL!$I:$I,JOURNAL!$D:$D,$A72,JOURNAL!$C:$C,O$5)</f>
        <v>40.700000000000003</v>
      </c>
      <c r="Q72" s="51">
        <f>INDEX(BUDGET!$A:$F,MATCH($A72,BUDGET!$A:$A,0),MATCH($O$5,BUDGET!$5:$5,0))</f>
        <v>100</v>
      </c>
      <c r="S72" s="51">
        <f t="shared" si="51"/>
        <v>-59.3</v>
      </c>
      <c r="U72" s="200">
        <f>SUMIFS(JOURNAL!$I:$I,JOURNAL!$D:$D,$A72,JOURNAL!$C:$C,U$5)</f>
        <v>27.849999999999998</v>
      </c>
      <c r="W72" s="41">
        <f>INDEX(BUDGET!$A:$H,MATCH($A72,BUDGET!$A:$A,0),MATCH($U$5,BUDGET!$5:$5,0))</f>
        <v>100</v>
      </c>
      <c r="Y72" s="41">
        <f t="shared" si="52"/>
        <v>-72.150000000000006</v>
      </c>
      <c r="AA72" s="200">
        <f>SUMIFS(JOURNAL!$I:$I,JOURNAL!$D:$D,$A72,JOURNAL!$C:$C,AA$5)</f>
        <v>0</v>
      </c>
      <c r="AC72" s="41">
        <f>INDEX(BUDGET!$A:$J,MATCH($A72,BUDGET!$A:$A,0),MATCH($AA$5,BUDGET!$5:$5,0))</f>
        <v>100</v>
      </c>
      <c r="AE72" s="41">
        <f t="shared" si="53"/>
        <v>-100</v>
      </c>
      <c r="AF72" s="200">
        <f>SUMIFS(JOURNAL!$I:$I,JOURNAL!$D:$D,$A72,JOURNAL!$C:$C,AF$5)</f>
        <v>71.400000000000006</v>
      </c>
      <c r="AH72" s="41">
        <f>INDEX(BUDGET!$A:$L,MATCH($A72,BUDGET!$A:$A,0),MATCH($AF$5,BUDGET!$5:$5,0))</f>
        <v>100</v>
      </c>
      <c r="AJ72" s="41">
        <f t="shared" si="54"/>
        <v>-28.599999999999994</v>
      </c>
      <c r="AK72" s="200">
        <f>SUMIFS(JOURNAL!$I:$I,JOURNAL!$D:$D,$A72,JOURNAL!$C:$C,AK$5)</f>
        <v>23.8</v>
      </c>
      <c r="AM72" s="41">
        <f>INDEX(BUDGET!$A:$N,MATCH($A72,BUDGET!$A:$A,0),MATCH($AK$5,BUDGET!$5:$5,0))</f>
        <v>100</v>
      </c>
      <c r="AO72" s="41">
        <f t="shared" si="55"/>
        <v>-76.2</v>
      </c>
      <c r="AP72" s="200">
        <f>SUMIFS(JOURNAL!$I:$I,JOURNAL!$D:$D,$A72,JOURNAL!$C:$C,AP$5)</f>
        <v>71.400000000000006</v>
      </c>
      <c r="AR72" s="41">
        <f>INDEX(BUDGET!$A:$P,MATCH($A72,BUDGET!$A:$A,0),MATCH($AP$5,BUDGET!$5:$5,0))</f>
        <v>100</v>
      </c>
      <c r="AT72" s="41">
        <f t="shared" si="56"/>
        <v>-28.599999999999994</v>
      </c>
      <c r="AU72" s="200">
        <f>SUMIFS(JOURNAL!$I:$I,JOURNAL!$D:$D,$A72,JOURNAL!$C:$C,AU$5)</f>
        <v>0</v>
      </c>
      <c r="AW72" s="41">
        <f>INDEX(BUDGET!$A:$R,MATCH($A72,BUDGET!$A:$A,0),MATCH($AU$5,BUDGET!$5:$5,0))</f>
        <v>100</v>
      </c>
      <c r="AY72" s="41">
        <f t="shared" si="57"/>
        <v>-100</v>
      </c>
    </row>
    <row r="73" spans="1:51" ht="13" x14ac:dyDescent="0.3">
      <c r="A73" s="30" t="s">
        <v>120</v>
      </c>
      <c r="B73" s="152">
        <f>SUM(B67:B72)</f>
        <v>184.54</v>
      </c>
      <c r="D73" s="148">
        <f>SUM(D67:D72)</f>
        <v>640</v>
      </c>
      <c r="F73" s="148">
        <f t="shared" si="49"/>
        <v>-455.46000000000004</v>
      </c>
      <c r="G73" s="54"/>
      <c r="I73" s="53">
        <f>SUM(I67:I72)</f>
        <v>340.83000000000004</v>
      </c>
      <c r="K73" s="53">
        <f>SUM(K67:K72)</f>
        <v>540</v>
      </c>
      <c r="M73" s="53">
        <f t="shared" si="50"/>
        <v>-199.16999999999996</v>
      </c>
      <c r="N73" s="54"/>
      <c r="O73" s="53">
        <f>SUM(O67:O72)</f>
        <v>319.64</v>
      </c>
      <c r="Q73" s="53">
        <f>SUM(Q67:Q72)</f>
        <v>540</v>
      </c>
      <c r="S73" s="53">
        <f t="shared" si="51"/>
        <v>-220.36</v>
      </c>
      <c r="U73" s="206">
        <f>SUM(U67:U72)</f>
        <v>178.88</v>
      </c>
      <c r="W73" s="198">
        <f>SUM(W67:W72)</f>
        <v>490</v>
      </c>
      <c r="Y73" s="198">
        <f>SUM(Y67:Y72)</f>
        <v>-311.12</v>
      </c>
      <c r="AA73" s="206">
        <f>SUM(AA67:AA72)</f>
        <v>0</v>
      </c>
      <c r="AC73" s="198">
        <f>SUM(AC67:AC72)</f>
        <v>840</v>
      </c>
      <c r="AE73" s="198">
        <f>SUM(AE67:AE72)</f>
        <v>-840</v>
      </c>
      <c r="AF73" s="206">
        <f>SUM(AF67:AF72)</f>
        <v>616.57000000000005</v>
      </c>
      <c r="AH73" s="198">
        <f>SUM(AH67:AH72)</f>
        <v>990</v>
      </c>
      <c r="AJ73" s="198">
        <f>SUM(AJ67:AJ72)</f>
        <v>-373.42999999999995</v>
      </c>
      <c r="AK73" s="206">
        <f>SUM(AK67:AK72)</f>
        <v>425.76</v>
      </c>
      <c r="AM73" s="198">
        <f>SUM(AM67:AM72)</f>
        <v>990</v>
      </c>
      <c r="AO73" s="198">
        <f>SUM(AO67:AO72)</f>
        <v>-564.24</v>
      </c>
      <c r="AP73" s="206">
        <f>SUM(AP67:AP72)</f>
        <v>827.23</v>
      </c>
      <c r="AR73" s="198">
        <f>SUM(AR67:AR72)</f>
        <v>1190</v>
      </c>
      <c r="AT73" s="198">
        <f>SUM(AT67:AT72)</f>
        <v>-362.77</v>
      </c>
      <c r="AU73" s="206">
        <f>SUM(AU67:AU72)</f>
        <v>155.57999999999998</v>
      </c>
      <c r="AW73" s="198">
        <f>SUM(AW67:AW72)</f>
        <v>890</v>
      </c>
      <c r="AY73" s="198">
        <f>SUM(AY67:AY72)</f>
        <v>-734.42000000000007</v>
      </c>
    </row>
    <row r="74" spans="1:51" x14ac:dyDescent="0.25">
      <c r="B74" s="159"/>
      <c r="D74" s="55"/>
      <c r="F74" s="55"/>
      <c r="G74" s="56"/>
      <c r="I74" s="55"/>
      <c r="K74" s="55"/>
      <c r="M74" s="55"/>
      <c r="N74" s="56"/>
      <c r="O74" s="55"/>
      <c r="Q74" s="55"/>
      <c r="S74" s="55"/>
      <c r="U74" s="200"/>
      <c r="AA74" s="200"/>
      <c r="AF74" s="200"/>
      <c r="AK74" s="200"/>
      <c r="AP74" s="200"/>
      <c r="AU74" s="200"/>
    </row>
    <row r="75" spans="1:51" ht="13" x14ac:dyDescent="0.25">
      <c r="A75" s="30" t="s">
        <v>109</v>
      </c>
      <c r="B75" s="160"/>
      <c r="D75" s="49"/>
      <c r="F75" s="49"/>
      <c r="G75" s="50"/>
      <c r="I75" s="49"/>
      <c r="K75" s="49"/>
      <c r="M75" s="49"/>
      <c r="N75" s="50"/>
      <c r="O75" s="49"/>
      <c r="Q75" s="49"/>
      <c r="S75" s="49"/>
      <c r="U75" s="200"/>
      <c r="AA75" s="200"/>
      <c r="AF75" s="200"/>
      <c r="AK75" s="200"/>
      <c r="AP75" s="200"/>
      <c r="AU75" s="200"/>
    </row>
    <row r="76" spans="1:51" x14ac:dyDescent="0.25">
      <c r="A76" s="37" t="str">
        <f>'PLAN COMPTABLE'!C45</f>
        <v>5200 - 5@7</v>
      </c>
      <c r="B76" s="147">
        <f>SUMIFS(JOURNAL!$I:$I,JOURNAL!$D:$D,$A76,JOURNAL!$C:$C,B$5)</f>
        <v>1531.13</v>
      </c>
      <c r="D76" s="147">
        <f>INDEX(BUDGET!$A:$F,MATCH($A76,BUDGET!$A:$A,0),MATCH($B$5,BUDGET!$5:$5,0))</f>
        <v>2000</v>
      </c>
      <c r="F76" s="147">
        <f t="shared" ref="F76:F90" si="58">B76-D76</f>
        <v>-468.86999999999989</v>
      </c>
      <c r="G76" s="52"/>
      <c r="I76" s="51">
        <f>SUMIFS(JOURNAL!$I:$I,JOURNAL!$D:$D,$A76,JOURNAL!$C:$C,I$5)</f>
        <v>1644.06</v>
      </c>
      <c r="K76" s="51">
        <f>INDEX(BUDGET!$A:$F,MATCH($A76,BUDGET!$A:$A,0),MATCH($I$5,BUDGET!$5:$5,0))</f>
        <v>1700</v>
      </c>
      <c r="M76" s="51">
        <f t="shared" ref="M76:M89" si="59">I76-K76</f>
        <v>-55.940000000000055</v>
      </c>
      <c r="N76" s="52"/>
      <c r="O76" s="51">
        <f>SUMIFS(JOURNAL!$I:$I,JOURNAL!$D:$D,$A76,JOURNAL!$C:$C,O$5)</f>
        <v>527.22</v>
      </c>
      <c r="Q76" s="51">
        <f>INDEX(BUDGET!$A:$F,MATCH($A76,BUDGET!$A:$A,0),MATCH($O$5,BUDGET!$5:$5,0))</f>
        <v>1700</v>
      </c>
      <c r="S76" s="51">
        <f t="shared" ref="S76:S81" si="60">O76-Q76</f>
        <v>-1172.78</v>
      </c>
      <c r="U76" s="200">
        <f>SUMIFS(JOURNAL!$I:$I,JOURNAL!$D:$D,$A76,JOURNAL!$C:$C,U$5)</f>
        <v>0</v>
      </c>
      <c r="W76" s="41">
        <f>INDEX(BUDGET!$A:$H,MATCH($A76,BUDGET!$A:$A,0),MATCH($U$5,BUDGET!$5:$5,0))</f>
        <v>400</v>
      </c>
      <c r="Y76" s="41">
        <f>U76-W76</f>
        <v>-400</v>
      </c>
      <c r="AA76" s="200">
        <f>SUMIFS(JOURNAL!$I:$I,JOURNAL!$D:$D,$A76,JOURNAL!$C:$C,AA$5)</f>
        <v>0</v>
      </c>
      <c r="AC76" s="41">
        <f>INDEX(BUDGET!$A:$J,MATCH($A76,BUDGET!$A:$A,0),MATCH($AA$5,BUDGET!$5:$5,0))</f>
        <v>500</v>
      </c>
      <c r="AE76" s="41">
        <f>AA76-AC76</f>
        <v>-500</v>
      </c>
      <c r="AF76" s="200">
        <f>SUMIFS(JOURNAL!$I:$I,JOURNAL!$D:$D,$A76,JOURNAL!$C:$C,AF$5)</f>
        <v>103.5</v>
      </c>
      <c r="AH76" s="41">
        <f>INDEX(BUDGET!$A:$L,MATCH($A76,BUDGET!$A:$A,0),MATCH($AF$5,BUDGET!$5:$5,0))</f>
        <v>1500</v>
      </c>
      <c r="AJ76" s="41">
        <f>AF76-AH76</f>
        <v>-1396.5</v>
      </c>
      <c r="AK76" s="200">
        <f>SUMIFS(JOURNAL!$I:$I,JOURNAL!$D:$D,$A76,JOURNAL!$C:$C,AK$5)</f>
        <v>996.28</v>
      </c>
      <c r="AM76" s="41">
        <f>INDEX(BUDGET!$A:$N,MATCH($A76,BUDGET!$A:$A,0),MATCH($AK$5,BUDGET!$5:$5,0))</f>
        <v>1000</v>
      </c>
      <c r="AO76" s="41">
        <f>AK76-AM76</f>
        <v>-3.7200000000000273</v>
      </c>
      <c r="AP76" s="200">
        <f>SUMIFS(JOURNAL!$I:$I,JOURNAL!$D:$D,$A76,JOURNAL!$C:$C,AP$5)</f>
        <v>0</v>
      </c>
      <c r="AR76" s="41">
        <f>INDEX(BUDGET!$A:$P,MATCH($A76,BUDGET!$A:$A,0),MATCH($AP$5,BUDGET!$5:$5,0))</f>
        <v>1000</v>
      </c>
      <c r="AT76" s="41">
        <f>AP76-AR76</f>
        <v>-1000</v>
      </c>
      <c r="AU76" s="200">
        <f>SUMIFS(JOURNAL!$I:$I,JOURNAL!$D:$D,$A76,JOURNAL!$C:$C,AU$5)</f>
        <v>411.44000000000005</v>
      </c>
      <c r="AW76" s="41">
        <f>INDEX(BUDGET!$A:$R,MATCH($A76,BUDGET!$A:$A,0),MATCH($AU$5,BUDGET!$5:$5,0))</f>
        <v>1000</v>
      </c>
      <c r="AY76" s="41">
        <f>AU76-AW76</f>
        <v>-588.55999999999995</v>
      </c>
    </row>
    <row r="77" spans="1:51" x14ac:dyDescent="0.25">
      <c r="A77" s="37" t="str">
        <f>'PLAN COMPTABLE'!C46</f>
        <v>5210 - Matériel promotionnel</v>
      </c>
      <c r="B77" s="147">
        <f>SUMIFS(JOURNAL!$I:$I,JOURNAL!$D:$D,$A77,JOURNAL!$C:$C,B$5)</f>
        <v>0</v>
      </c>
      <c r="D77" s="147">
        <f>INDEX(BUDGET!$A:$F,MATCH($A77,BUDGET!$A:$A,0),MATCH($B$5,BUDGET!$5:$5,0))</f>
        <v>500</v>
      </c>
      <c r="F77" s="147">
        <f t="shared" si="58"/>
        <v>-500</v>
      </c>
      <c r="G77" s="52"/>
      <c r="I77" s="51">
        <f>SUMIFS(JOURNAL!$I:$I,JOURNAL!$D:$D,$A77,JOURNAL!$C:$C,I$5)</f>
        <v>300</v>
      </c>
      <c r="K77" s="51">
        <f>INDEX(BUDGET!$A:$F,MATCH($A77,BUDGET!$A:$A,0),MATCH($I$5,BUDGET!$5:$5,0))</f>
        <v>300</v>
      </c>
      <c r="M77" s="51">
        <f t="shared" si="59"/>
        <v>0</v>
      </c>
      <c r="N77" s="52"/>
      <c r="O77" s="51">
        <f>SUMIFS(JOURNAL!$I:$I,JOURNAL!$D:$D,$A77,JOURNAL!$C:$C,O$5)</f>
        <v>0</v>
      </c>
      <c r="Q77" s="51">
        <f>INDEX(BUDGET!$A:$F,MATCH($A77,BUDGET!$A:$A,0),MATCH($O$5,BUDGET!$5:$5,0))</f>
        <v>200</v>
      </c>
      <c r="S77" s="51">
        <f t="shared" si="60"/>
        <v>-200</v>
      </c>
      <c r="U77" s="200">
        <f>SUMIFS(JOURNAL!$I:$I,JOURNAL!$D:$D,$A77,JOURNAL!$C:$C,U$5)</f>
        <v>0</v>
      </c>
      <c r="W77" s="41">
        <f>INDEX(BUDGET!$A:$H,MATCH($A77,BUDGET!$A:$A,0),MATCH($U$5,BUDGET!$5:$5,0))</f>
        <v>200</v>
      </c>
      <c r="Y77" s="41">
        <f t="shared" ref="Y77:Y89" si="61">U77-W77</f>
        <v>-200</v>
      </c>
      <c r="AA77" s="200">
        <f>SUMIFS(JOURNAL!$I:$I,JOURNAL!$D:$D,$A77,JOURNAL!$C:$C,AA$5)</f>
        <v>0</v>
      </c>
      <c r="AC77" s="41">
        <f>INDEX(BUDGET!$A:$J,MATCH($A77,BUDGET!$A:$A,0),MATCH($AA$5,BUDGET!$5:$5,0))</f>
        <v>150</v>
      </c>
      <c r="AE77" s="41">
        <f t="shared" ref="AE77:AE89" si="62">AA77-AC77</f>
        <v>-150</v>
      </c>
      <c r="AF77" s="200">
        <f>SUMIFS(JOURNAL!$I:$I,JOURNAL!$D:$D,$A77,JOURNAL!$C:$C,AF$5)</f>
        <v>0</v>
      </c>
      <c r="AH77" s="41">
        <f>INDEX(BUDGET!$A:$L,MATCH($A77,BUDGET!$A:$A,0),MATCH($AF$5,BUDGET!$5:$5,0))</f>
        <v>300</v>
      </c>
      <c r="AJ77" s="41">
        <f t="shared" ref="AJ77:AJ83" si="63">AF77-AH77</f>
        <v>-300</v>
      </c>
      <c r="AK77" s="200">
        <f>SUMIFS(JOURNAL!$I:$I,JOURNAL!$D:$D,$A77,JOURNAL!$C:$C,AK$5)</f>
        <v>0</v>
      </c>
      <c r="AM77" s="41">
        <f>INDEX(BUDGET!$A:$N,MATCH($A77,BUDGET!$A:$A,0),MATCH($AK$5,BUDGET!$5:$5,0))</f>
        <v>300</v>
      </c>
      <c r="AO77" s="41">
        <f t="shared" ref="AO77:AO83" si="64">AK77-AM77</f>
        <v>-300</v>
      </c>
      <c r="AP77" s="200">
        <f>SUMIFS(JOURNAL!$I:$I,JOURNAL!$D:$D,$A77,JOURNAL!$C:$C,AP$5)</f>
        <v>0</v>
      </c>
      <c r="AR77" s="41">
        <f>INDEX(BUDGET!$A:$P,MATCH($A77,BUDGET!$A:$A,0),MATCH($AP$5,BUDGET!$5:$5,0))</f>
        <v>200</v>
      </c>
      <c r="AT77" s="41">
        <f t="shared" ref="AT77:AT83" si="65">AP77-AR77</f>
        <v>-200</v>
      </c>
      <c r="AU77" s="200">
        <f>SUMIFS(JOURNAL!$I:$I,JOURNAL!$D:$D,$A77,JOURNAL!$C:$C,AU$5)</f>
        <v>0</v>
      </c>
      <c r="AW77" s="41">
        <f>INDEX(BUDGET!$A:$R,MATCH($A77,BUDGET!$A:$A,0),MATCH($AU$5,BUDGET!$5:$5,0))</f>
        <v>200</v>
      </c>
      <c r="AY77" s="41">
        <f t="shared" ref="AY77:AY83" si="66">AU77-AW77</f>
        <v>-200</v>
      </c>
    </row>
    <row r="78" spans="1:51" x14ac:dyDescent="0.25">
      <c r="A78" s="37" t="str">
        <f>'PLAN COMPTABLE'!C47</f>
        <v>5215 - Colloque 1er Cycle</v>
      </c>
      <c r="B78" s="147"/>
      <c r="D78" s="147"/>
      <c r="F78" s="147"/>
      <c r="G78" s="52"/>
      <c r="I78" s="51">
        <f>SUMIFS(JOURNAL!$I:$I,JOURNAL!$D:$D,$A78,JOURNAL!$C:$C,I$5)</f>
        <v>57.49</v>
      </c>
      <c r="K78" s="51">
        <f>INDEX(BUDGET!$A:$F,MATCH($A78,BUDGET!$A:$A,0),MATCH($I$5,BUDGET!$5:$5,0))</f>
        <v>0</v>
      </c>
      <c r="M78" s="51">
        <f>I78-K78</f>
        <v>57.49</v>
      </c>
      <c r="N78" s="52"/>
      <c r="O78" s="51">
        <f>SUMIFS(JOURNAL!$I:$I,JOURNAL!$D:$D,$A78,JOURNAL!$C:$C,O$5)</f>
        <v>349.92</v>
      </c>
      <c r="Q78" s="51">
        <f>INDEX(BUDGET!$A:$F,MATCH($A78,BUDGET!$A:$A,0),MATCH($O$5,BUDGET!$5:$5,0))</f>
        <v>350</v>
      </c>
      <c r="S78" s="51">
        <f>O78-Q78</f>
        <v>-7.9999999999984084E-2</v>
      </c>
      <c r="U78" s="200">
        <f>SUMIFS(JOURNAL!$I:$I,JOURNAL!$D:$D,$A78,JOURNAL!$C:$C,U$5)</f>
        <v>0</v>
      </c>
      <c r="W78" s="41">
        <f>INDEX(BUDGET!$A:$H,MATCH($A78,BUDGET!$A:$A,0),MATCH($U$5,BUDGET!$5:$5,0))</f>
        <v>350</v>
      </c>
      <c r="Y78" s="41">
        <f t="shared" si="61"/>
        <v>-350</v>
      </c>
      <c r="AA78" s="200">
        <f>SUMIFS(JOURNAL!$I:$I,JOURNAL!$D:$D,$A78,JOURNAL!$C:$C,AA$5)</f>
        <v>0</v>
      </c>
      <c r="AC78" s="41">
        <f>INDEX(BUDGET!$A:$J,MATCH($A78,BUDGET!$A:$A,0),MATCH($AA$5,BUDGET!$5:$5,0))</f>
        <v>350</v>
      </c>
      <c r="AE78" s="41">
        <f t="shared" si="62"/>
        <v>-350</v>
      </c>
      <c r="AF78" s="200">
        <f>SUMIFS(JOURNAL!$I:$I,JOURNAL!$D:$D,$A78,JOURNAL!$C:$C,AF$5)</f>
        <v>0</v>
      </c>
      <c r="AH78" s="41">
        <f>INDEX(BUDGET!$A:$L,MATCH($A78,BUDGET!$A:$A,0),MATCH($AF$5,BUDGET!$5:$5,0))</f>
        <v>350</v>
      </c>
      <c r="AJ78" s="41">
        <f t="shared" si="63"/>
        <v>-350</v>
      </c>
      <c r="AK78" s="200">
        <f>SUMIFS(JOURNAL!$I:$I,JOURNAL!$D:$D,$A78,JOURNAL!$C:$C,AK$5)</f>
        <v>333.09000000000003</v>
      </c>
      <c r="AM78" s="41">
        <f>INDEX(BUDGET!$A:$N,MATCH($A78,BUDGET!$A:$A,0),MATCH($AK$5,BUDGET!$5:$5,0))</f>
        <v>350</v>
      </c>
      <c r="AO78" s="41">
        <f t="shared" si="64"/>
        <v>-16.909999999999968</v>
      </c>
      <c r="AP78" s="200">
        <f>SUMIFS(JOURNAL!$I:$I,JOURNAL!$D:$D,$A78,JOURNAL!$C:$C,AP$5)</f>
        <v>636.91</v>
      </c>
      <c r="AR78" s="41">
        <f>INDEX(BUDGET!$A:$P,MATCH($A78,BUDGET!$A:$A,0),MATCH($AP$5,BUDGET!$5:$5,0))</f>
        <v>350</v>
      </c>
      <c r="AT78" s="41">
        <f t="shared" si="65"/>
        <v>286.90999999999997</v>
      </c>
      <c r="AU78" s="200">
        <f>SUMIFS(JOURNAL!$I:$I,JOURNAL!$D:$D,$A78,JOURNAL!$C:$C,AU$5)</f>
        <v>0</v>
      </c>
      <c r="AW78" s="41">
        <f>INDEX(BUDGET!$A:$R,MATCH($A78,BUDGET!$A:$A,0),MATCH($AU$5,BUDGET!$5:$5,0))</f>
        <v>350</v>
      </c>
      <c r="AY78" s="41">
        <f t="shared" si="66"/>
        <v>-350</v>
      </c>
    </row>
    <row r="79" spans="1:51" s="11" customFormat="1" ht="15.5" x14ac:dyDescent="0.35">
      <c r="A79" s="37" t="str">
        <f>'PLAN COMPTABLE'!C48</f>
        <v>5220 - Bourses - Colloque 1er Cycle</v>
      </c>
      <c r="B79" s="147">
        <f>SUMIFS(JOURNAL!$I:$I,JOURNAL!$D:$D,$A79,JOURNAL!$C:$C,B$5)</f>
        <v>0</v>
      </c>
      <c r="C79" s="41"/>
      <c r="D79" s="147">
        <f>INDEX(BUDGET!$A:$F,MATCH($A79,BUDGET!$A:$A,0),MATCH($B$5,BUDGET!$5:$5,0))</f>
        <v>500</v>
      </c>
      <c r="E79" s="41"/>
      <c r="F79" s="147">
        <f t="shared" si="58"/>
        <v>-500</v>
      </c>
      <c r="G79" s="52"/>
      <c r="H79" s="41"/>
      <c r="I79" s="51">
        <f>SUMIFS(JOURNAL!$I:$I,JOURNAL!$D:$D,$A79,JOURNAL!$C:$C,I$5)</f>
        <v>300</v>
      </c>
      <c r="J79" s="41"/>
      <c r="K79" s="51">
        <f>INDEX(BUDGET!$A:$F,MATCH($A79,BUDGET!$A:$A,0),MATCH($I$5,BUDGET!$5:$5,0))</f>
        <v>300</v>
      </c>
      <c r="L79" s="41"/>
      <c r="M79" s="51">
        <f t="shared" si="59"/>
        <v>0</v>
      </c>
      <c r="N79" s="52"/>
      <c r="O79" s="51">
        <f>SUMIFS(JOURNAL!$I:$I,JOURNAL!$D:$D,$A79,JOURNAL!$C:$C,O$5)</f>
        <v>300</v>
      </c>
      <c r="P79" s="41"/>
      <c r="Q79" s="51">
        <f>INDEX(BUDGET!$A:$F,MATCH($A79,BUDGET!$A:$A,0),MATCH($O$5,BUDGET!$5:$5,0))</f>
        <v>300</v>
      </c>
      <c r="R79" s="41"/>
      <c r="S79" s="51">
        <f t="shared" si="60"/>
        <v>0</v>
      </c>
      <c r="U79" s="200">
        <f>SUMIFS(JOURNAL!$I:$I,JOURNAL!$D:$D,$A79,JOURNAL!$C:$C,U$5)</f>
        <v>300</v>
      </c>
      <c r="W79" s="41">
        <f>INDEX(BUDGET!$A:$H,MATCH($A79,BUDGET!$A:$A,0),MATCH($U$5,BUDGET!$5:$5,0))</f>
        <v>300</v>
      </c>
      <c r="Y79" s="41">
        <f t="shared" si="61"/>
        <v>0</v>
      </c>
      <c r="AA79" s="200">
        <f>SUMIFS(JOURNAL!$I:$I,JOURNAL!$D:$D,$A79,JOURNAL!$C:$C,AA$5)</f>
        <v>720</v>
      </c>
      <c r="AB79" s="41"/>
      <c r="AC79" s="41">
        <f>INDEX(BUDGET!$A:$J,MATCH($A79,BUDGET!$A:$A,0),MATCH($AA$5,BUDGET!$5:$5,0))</f>
        <v>550</v>
      </c>
      <c r="AD79" s="41"/>
      <c r="AE79" s="41">
        <f t="shared" si="62"/>
        <v>170</v>
      </c>
      <c r="AF79" s="200">
        <f>SUMIFS(JOURNAL!$I:$I,JOURNAL!$D:$D,$A79,JOURNAL!$C:$C,AF$5)</f>
        <v>480</v>
      </c>
      <c r="AG79" s="41"/>
      <c r="AH79" s="41">
        <f>INDEX(BUDGET!$A:$L,MATCH($A79,BUDGET!$A:$A,0),MATCH($AF$5,BUDGET!$5:$5,0))</f>
        <v>550</v>
      </c>
      <c r="AI79" s="41"/>
      <c r="AJ79" s="41">
        <f t="shared" si="63"/>
        <v>-70</v>
      </c>
      <c r="AK79" s="200">
        <f>SUMIFS(JOURNAL!$I:$I,JOURNAL!$D:$D,$A79,JOURNAL!$C:$C,AK$5)</f>
        <v>120</v>
      </c>
      <c r="AL79" s="41"/>
      <c r="AM79" s="41">
        <f>INDEX(BUDGET!$A:$N,MATCH($A79,BUDGET!$A:$A,0),MATCH($AK$5,BUDGET!$5:$5,0))</f>
        <v>550</v>
      </c>
      <c r="AN79" s="41"/>
      <c r="AO79" s="41">
        <f t="shared" si="64"/>
        <v>-430</v>
      </c>
      <c r="AP79" s="200">
        <f>SUMIFS(JOURNAL!$I:$I,JOURNAL!$D:$D,$A79,JOURNAL!$C:$C,AP$5)</f>
        <v>300</v>
      </c>
      <c r="AQ79" s="41"/>
      <c r="AR79" s="41">
        <f>INDEX(BUDGET!$A:$P,MATCH($A79,BUDGET!$A:$A,0),MATCH($AP$5,BUDGET!$5:$5,0))</f>
        <v>550</v>
      </c>
      <c r="AS79" s="41"/>
      <c r="AT79" s="41">
        <f t="shared" si="65"/>
        <v>-250</v>
      </c>
      <c r="AU79" s="200">
        <f>SUMIFS(JOURNAL!$I:$I,JOURNAL!$D:$D,$A79,JOURNAL!$C:$C,AU$5)</f>
        <v>0</v>
      </c>
      <c r="AV79" s="41"/>
      <c r="AW79" s="41">
        <f>INDEX(BUDGET!$A:$R,MATCH($A79,BUDGET!$A:$A,0),MATCH($AU$5,BUDGET!$5:$5,0))</f>
        <v>550</v>
      </c>
      <c r="AX79" s="41"/>
      <c r="AY79" s="41">
        <f t="shared" si="66"/>
        <v>-550</v>
      </c>
    </row>
    <row r="80" spans="1:51" x14ac:dyDescent="0.25">
      <c r="A80" s="37" t="str">
        <f>'PLAN COMPTABLE'!C49</f>
        <v>5230 - Projets étudiants</v>
      </c>
      <c r="B80" s="147">
        <f>SUMIFS(JOURNAL!$I:$I,JOURNAL!$D:$D,$A80,JOURNAL!$C:$C,B$5)</f>
        <v>0</v>
      </c>
      <c r="D80" s="147">
        <f>INDEX(BUDGET!$A:$F,MATCH($A80,BUDGET!$A:$A,0),MATCH($B$5,BUDGET!$5:$5,0))</f>
        <v>500</v>
      </c>
      <c r="F80" s="147">
        <f t="shared" si="58"/>
        <v>-500</v>
      </c>
      <c r="G80" s="52"/>
      <c r="I80" s="51">
        <f>SUMIFS(JOURNAL!$I:$I,JOURNAL!$D:$D,$A80,JOURNAL!$C:$C,I$5)</f>
        <v>470.58000000000004</v>
      </c>
      <c r="K80" s="51">
        <f>INDEX(BUDGET!$A:$F,MATCH($A80,BUDGET!$A:$A,0),MATCH($I$5,BUDGET!$5:$5,0))</f>
        <v>500</v>
      </c>
      <c r="M80" s="51">
        <f t="shared" si="59"/>
        <v>-29.419999999999959</v>
      </c>
      <c r="N80" s="52"/>
      <c r="O80" s="51">
        <f>SUMIFS(JOURNAL!$I:$I,JOURNAL!$D:$D,$A80,JOURNAL!$C:$C,O$5)</f>
        <v>345</v>
      </c>
      <c r="Q80" s="51">
        <f>INDEX(BUDGET!$A:$F,MATCH($A80,BUDGET!$A:$A,0),MATCH($O$5,BUDGET!$5:$5,0))</f>
        <v>500</v>
      </c>
      <c r="S80" s="51">
        <f t="shared" si="60"/>
        <v>-155</v>
      </c>
      <c r="U80" s="200">
        <f>SUMIFS(JOURNAL!$I:$I,JOURNAL!$D:$D,$A80,JOURNAL!$C:$C,U$5)</f>
        <v>400</v>
      </c>
      <c r="W80" s="41">
        <f>INDEX(BUDGET!$A:$H,MATCH($A80,BUDGET!$A:$A,0),MATCH($U$5,BUDGET!$5:$5,0))</f>
        <v>500</v>
      </c>
      <c r="Y80" s="41">
        <f t="shared" si="61"/>
        <v>-100</v>
      </c>
      <c r="AA80" s="200">
        <f>SUMIFS(JOURNAL!$I:$I,JOURNAL!$D:$D,$A80,JOURNAL!$C:$C,AA$5)</f>
        <v>250</v>
      </c>
      <c r="AC80" s="41">
        <f>INDEX(BUDGET!$A:$J,MATCH($A80,BUDGET!$A:$A,0),MATCH($AA$5,BUDGET!$5:$5,0))</f>
        <v>1000</v>
      </c>
      <c r="AE80" s="41">
        <f t="shared" si="62"/>
        <v>-750</v>
      </c>
      <c r="AF80" s="200">
        <f>SUMIFS(JOURNAL!$I:$I,JOURNAL!$D:$D,$A80,JOURNAL!$C:$C,AF$5)</f>
        <v>0</v>
      </c>
      <c r="AH80" s="41">
        <f>INDEX(BUDGET!$A:$L,MATCH($A80,BUDGET!$A:$A,0),MATCH($AF$5,BUDGET!$5:$5,0))</f>
        <v>1000</v>
      </c>
      <c r="AJ80" s="41">
        <f t="shared" si="63"/>
        <v>-1000</v>
      </c>
      <c r="AK80" s="200">
        <f>SUMIFS(JOURNAL!$I:$I,JOURNAL!$D:$D,$A80,JOURNAL!$C:$C,AK$5)</f>
        <v>250</v>
      </c>
      <c r="AM80" s="41">
        <f>INDEX(BUDGET!$A:$N,MATCH($A80,BUDGET!$A:$A,0),MATCH($AK$5,BUDGET!$5:$5,0))</f>
        <v>1000</v>
      </c>
      <c r="AO80" s="41">
        <f t="shared" si="64"/>
        <v>-750</v>
      </c>
      <c r="AP80" s="200">
        <f>SUMIFS(JOURNAL!$I:$I,JOURNAL!$D:$D,$A80,JOURNAL!$C:$C,AP$5)</f>
        <v>0</v>
      </c>
      <c r="AR80" s="41">
        <v>500</v>
      </c>
      <c r="AT80" s="41">
        <f t="shared" si="65"/>
        <v>-500</v>
      </c>
      <c r="AU80" s="200">
        <f>SUMIFS(JOURNAL!$I:$I,JOURNAL!$D:$D,$A80,JOURNAL!$C:$C,AU$5)</f>
        <v>0</v>
      </c>
      <c r="AW80" s="41">
        <f>INDEX(BUDGET!$A:$R,MATCH($A80,BUDGET!$A:$A,0),MATCH($AU$5,BUDGET!$5:$5,0))</f>
        <v>500</v>
      </c>
      <c r="AY80" s="41">
        <f t="shared" si="66"/>
        <v>-500</v>
      </c>
    </row>
    <row r="81" spans="1:51" x14ac:dyDescent="0.25">
      <c r="A81" s="37" t="str">
        <f>'PLAN COMPTABLE'!C50</f>
        <v>5240 - Sports</v>
      </c>
      <c r="B81" s="147"/>
      <c r="D81" s="147">
        <f>INDEX(BUDGET!$A:$F,MATCH($A81,BUDGET!$A:$A,0),MATCH($B$5,BUDGET!$5:$5,0))</f>
        <v>500</v>
      </c>
      <c r="F81" s="147"/>
      <c r="G81" s="52"/>
      <c r="I81" s="51">
        <f>SUMIFS(JOURNAL!$I:$I,JOURNAL!$D:$D,$A81,JOURNAL!$C:$C,I$5)</f>
        <v>189.91</v>
      </c>
      <c r="K81" s="51">
        <f>INDEX(BUDGET!$A:$F,MATCH($A81,BUDGET!$A:$A,0),MATCH($I$5,BUDGET!$5:$5,0))</f>
        <v>300</v>
      </c>
      <c r="M81" s="51">
        <f t="shared" si="59"/>
        <v>-110.09</v>
      </c>
      <c r="N81" s="52"/>
      <c r="O81" s="51">
        <f>SUMIFS(JOURNAL!$I:$I,JOURNAL!$D:$D,$A81,JOURNAL!$C:$C,O$5)</f>
        <v>0</v>
      </c>
      <c r="Q81" s="51">
        <f>INDEX(BUDGET!$A:$F,MATCH($A81,BUDGET!$A:$A,0),MATCH($O$5,BUDGET!$5:$5,0))</f>
        <v>300</v>
      </c>
      <c r="S81" s="51">
        <f t="shared" si="60"/>
        <v>-300</v>
      </c>
      <c r="U81" s="200">
        <f>SUMIFS(JOURNAL!$I:$I,JOURNAL!$D:$D,$A81,JOURNAL!$C:$C,U$5)</f>
        <v>0</v>
      </c>
      <c r="W81" s="41">
        <f>INDEX(BUDGET!$A:$H,MATCH($A81,BUDGET!$A:$A,0),MATCH($U$5,BUDGET!$5:$5,0))</f>
        <v>100</v>
      </c>
      <c r="Y81" s="41">
        <f t="shared" si="61"/>
        <v>-100</v>
      </c>
      <c r="AA81" s="200">
        <f>SUMIFS(JOURNAL!$I:$I,JOURNAL!$D:$D,$A81,JOURNAL!$C:$C,AA$5)</f>
        <v>200</v>
      </c>
      <c r="AC81" s="41">
        <f>INDEX(BUDGET!$A:$J,MATCH($A81,BUDGET!$A:$A,0),MATCH($AA$5,BUDGET!$5:$5,0))</f>
        <v>250</v>
      </c>
      <c r="AE81" s="41">
        <f t="shared" si="62"/>
        <v>-50</v>
      </c>
      <c r="AF81" s="200">
        <f>SUMIFS(JOURNAL!$I:$I,JOURNAL!$D:$D,$A81,JOURNAL!$C:$C,AF$5)</f>
        <v>585.12</v>
      </c>
      <c r="AH81" s="41">
        <f>INDEX(BUDGET!$A:$L,MATCH($A81,BUDGET!$A:$A,0),MATCH($AF$5,BUDGET!$5:$5,0))</f>
        <v>840</v>
      </c>
      <c r="AJ81" s="41">
        <f t="shared" si="63"/>
        <v>-254.88</v>
      </c>
      <c r="AK81" s="200">
        <f>SUMIFS(JOURNAL!$I:$I,JOURNAL!$D:$D,$A81,JOURNAL!$C:$C,AK$5)</f>
        <v>436.84000000000003</v>
      </c>
      <c r="AM81" s="41">
        <f>INDEX(BUDGET!$A:$N,MATCH($A81,BUDGET!$A:$A,0),MATCH($AK$5,BUDGET!$5:$5,0))</f>
        <v>840</v>
      </c>
      <c r="AO81" s="41">
        <f t="shared" si="64"/>
        <v>-403.15999999999997</v>
      </c>
      <c r="AP81" s="200">
        <f>SUMIFS(JOURNAL!$I:$I,JOURNAL!$D:$D,$A81,JOURNAL!$C:$C,AP$5)</f>
        <v>0</v>
      </c>
      <c r="AR81" s="41">
        <v>500</v>
      </c>
      <c r="AT81" s="41">
        <f t="shared" si="65"/>
        <v>-500</v>
      </c>
      <c r="AU81" s="200">
        <f>SUMIFS(JOURNAL!$I:$I,JOURNAL!$D:$D,$A81,JOURNAL!$C:$C,AU$5)</f>
        <v>0</v>
      </c>
      <c r="AW81" s="41">
        <f>INDEX(BUDGET!$A:$R,MATCH($A81,BUDGET!$A:$A,0),MATCH($AU$5,BUDGET!$5:$5,0))</f>
        <v>400</v>
      </c>
      <c r="AY81" s="41">
        <f t="shared" si="66"/>
        <v>-400</v>
      </c>
    </row>
    <row r="82" spans="1:51" s="11" customFormat="1" ht="15.5" x14ac:dyDescent="0.35">
      <c r="A82" s="37" t="str">
        <f>'PLAN COMPTABLE'!C51</f>
        <v>5250 - Autres activités socio-culturelles</v>
      </c>
      <c r="B82" s="147">
        <f>SUMIFS(JOURNAL!$I:$I,JOURNAL!$D:$D,$A82,JOURNAL!$C:$C,B$5)</f>
        <v>368.87</v>
      </c>
      <c r="C82" s="41"/>
      <c r="D82" s="147">
        <f>INDEX(BUDGET!$A:$F,MATCH($A82,BUDGET!$A:$A,0),MATCH($B$5,BUDGET!$5:$5,0))</f>
        <v>500</v>
      </c>
      <c r="E82" s="41"/>
      <c r="F82" s="147">
        <f t="shared" si="58"/>
        <v>-131.13</v>
      </c>
      <c r="G82" s="52"/>
      <c r="H82" s="41"/>
      <c r="I82" s="51">
        <f>SUMIFS(JOURNAL!$I:$I,JOURNAL!$D:$D,$A82,JOURNAL!$C:$C,I$5)</f>
        <v>169.27</v>
      </c>
      <c r="J82" s="41"/>
      <c r="K82" s="51">
        <f>INDEX(BUDGET!$A:$F,MATCH($A82,BUDGET!$A:$A,0),MATCH($I$5,BUDGET!$5:$5,0))</f>
        <v>300</v>
      </c>
      <c r="L82" s="41"/>
      <c r="M82" s="51">
        <f>I82-K82</f>
        <v>-130.72999999999999</v>
      </c>
      <c r="N82" s="52"/>
      <c r="O82" s="51">
        <f>SUMIFS(JOURNAL!$I:$I,JOURNAL!$D:$D,$A82,JOURNAL!$C:$C,O$5)</f>
        <v>200.61</v>
      </c>
      <c r="P82" s="41"/>
      <c r="Q82" s="51">
        <f>INDEX(BUDGET!$A:$F,MATCH($A82,BUDGET!$A:$A,0),MATCH($O$5,BUDGET!$5:$5,0))</f>
        <v>300</v>
      </c>
      <c r="R82" s="41"/>
      <c r="S82" s="51">
        <f>O82-Q82</f>
        <v>-99.389999999999986</v>
      </c>
      <c r="U82" s="200">
        <f>SUMIFS(JOURNAL!$I:$I,JOURNAL!$D:$D,$A82,JOURNAL!$C:$C,U$5)</f>
        <v>100</v>
      </c>
      <c r="W82" s="41">
        <f>INDEX(BUDGET!$A:$H,MATCH($A82,BUDGET!$A:$A,0),MATCH($U$5,BUDGET!$5:$5,0))</f>
        <v>400</v>
      </c>
      <c r="Y82" s="41">
        <f t="shared" si="61"/>
        <v>-300</v>
      </c>
      <c r="AA82" s="200">
        <f>SUMIFS(JOURNAL!$I:$I,JOURNAL!$D:$D,$A82,JOURNAL!$C:$C,AA$5)</f>
        <v>273.42</v>
      </c>
      <c r="AB82" s="41"/>
      <c r="AC82" s="41">
        <f>INDEX(BUDGET!$A:$J,MATCH($A82,BUDGET!$A:$A,0),MATCH($AA$5,BUDGET!$5:$5,0))</f>
        <v>500</v>
      </c>
      <c r="AD82" s="41"/>
      <c r="AE82" s="41">
        <f t="shared" si="62"/>
        <v>-226.57999999999998</v>
      </c>
      <c r="AF82" s="200">
        <f>SUMIFS(JOURNAL!$I:$I,JOURNAL!$D:$D,$A82,JOURNAL!$C:$C,AF$5)</f>
        <v>125.01</v>
      </c>
      <c r="AG82" s="41"/>
      <c r="AH82" s="41">
        <f>INDEX(BUDGET!$A:$L,MATCH($A82,BUDGET!$A:$A,0),MATCH($AF$5,BUDGET!$5:$5,0))</f>
        <v>500</v>
      </c>
      <c r="AI82" s="41"/>
      <c r="AJ82" s="41">
        <f t="shared" si="63"/>
        <v>-374.99</v>
      </c>
      <c r="AK82" s="200">
        <f>SUMIFS(JOURNAL!$I:$I,JOURNAL!$D:$D,$A82,JOURNAL!$C:$C,AK$5)</f>
        <v>57.25</v>
      </c>
      <c r="AL82" s="41"/>
      <c r="AM82" s="41">
        <f>INDEX(BUDGET!$A:$N,MATCH($A82,BUDGET!$A:$A,0),MATCH($AK$5,BUDGET!$5:$5,0))</f>
        <v>500</v>
      </c>
      <c r="AN82" s="41"/>
      <c r="AO82" s="41">
        <f t="shared" si="64"/>
        <v>-442.75</v>
      </c>
      <c r="AP82" s="200">
        <f>SUMIFS(JOURNAL!$I:$I,JOURNAL!$D:$D,$A82,JOURNAL!$C:$C,AP$5)</f>
        <v>192.8</v>
      </c>
      <c r="AQ82" s="41"/>
      <c r="AR82" s="41">
        <f>INDEX(BUDGET!$A:$P,MATCH($A82,BUDGET!$A:$A,0),MATCH($AP$5,BUDGET!$5:$5,0))</f>
        <v>500</v>
      </c>
      <c r="AS82" s="41"/>
      <c r="AT82" s="41">
        <f t="shared" si="65"/>
        <v>-307.2</v>
      </c>
      <c r="AU82" s="200">
        <f>SUMIFS(JOURNAL!$I:$I,JOURNAL!$D:$D,$A82,JOURNAL!$C:$C,AU$5)</f>
        <v>68.06</v>
      </c>
      <c r="AV82" s="41"/>
      <c r="AW82" s="41">
        <f>INDEX(BUDGET!$A:$R,MATCH($A82,BUDGET!$A:$A,0),MATCH($AU$5,BUDGET!$5:$5,0))</f>
        <v>600</v>
      </c>
      <c r="AX82" s="41"/>
      <c r="AY82" s="41">
        <f t="shared" si="66"/>
        <v>-531.94000000000005</v>
      </c>
    </row>
    <row r="83" spans="1:51" x14ac:dyDescent="0.25">
      <c r="A83" s="37" t="str">
        <f>'PLAN COMPTABLE'!C52</f>
        <v>5260 - Activités d'accueil</v>
      </c>
      <c r="B83" s="147">
        <f>SUMIFS(JOURNAL!$I:$I,JOURNAL!$D:$D,$A83,JOURNAL!$C:$C,B$5)</f>
        <v>786.88</v>
      </c>
      <c r="D83" s="147">
        <f>INDEX(BUDGET!$A:$F,MATCH($A83,BUDGET!$A:$A,0),MATCH($B$5,BUDGET!$5:$5,0))</f>
        <v>1000</v>
      </c>
      <c r="F83" s="147">
        <f t="shared" si="58"/>
        <v>-213.12</v>
      </c>
      <c r="G83" s="52"/>
      <c r="I83" s="51">
        <f>SUMIFS(JOURNAL!$I:$I,JOURNAL!$D:$D,$A83,JOURNAL!$C:$C,I$5)</f>
        <v>664.52</v>
      </c>
      <c r="K83" s="51">
        <f>INDEX(BUDGET!$A:$F,MATCH($A83,BUDGET!$A:$A,0),MATCH($I$5,BUDGET!$5:$5,0))</f>
        <v>800</v>
      </c>
      <c r="M83" s="51">
        <f t="shared" si="59"/>
        <v>-135.48000000000002</v>
      </c>
      <c r="N83" s="52"/>
      <c r="O83" s="51">
        <f>SUMIFS(JOURNAL!$I:$I,JOURNAL!$D:$D,$A83,JOURNAL!$C:$C,O$5)</f>
        <v>247.88</v>
      </c>
      <c r="Q83" s="51">
        <f>INDEX(BUDGET!$A:$F,MATCH($A83,BUDGET!$A:$A,0),MATCH($O$5,BUDGET!$5:$5,0))</f>
        <v>500</v>
      </c>
      <c r="S83" s="51">
        <f t="shared" ref="S83:S89" si="67">O83-Q83</f>
        <v>-252.12</v>
      </c>
      <c r="U83" s="200">
        <f>SUMIFS(JOURNAL!$I:$I,JOURNAL!$D:$D,$A83,JOURNAL!$C:$C,U$5)</f>
        <v>0</v>
      </c>
      <c r="W83" s="41">
        <f>INDEX(BUDGET!$A:$H,MATCH($A83,BUDGET!$A:$A,0),MATCH($U$5,BUDGET!$5:$5,0))</f>
        <v>400</v>
      </c>
      <c r="Y83" s="41">
        <f t="shared" si="61"/>
        <v>-400</v>
      </c>
      <c r="AA83" s="200">
        <f>SUMIFS(JOURNAL!$I:$I,JOURNAL!$D:$D,$A83,JOURNAL!$C:$C,AA$5)</f>
        <v>144</v>
      </c>
      <c r="AC83" s="41">
        <f>INDEX(BUDGET!$A:$J,MATCH($A83,BUDGET!$A:$A,0),MATCH($AA$5,BUDGET!$5:$5,0))</f>
        <v>400</v>
      </c>
      <c r="AE83" s="41">
        <f t="shared" si="62"/>
        <v>-256</v>
      </c>
      <c r="AF83" s="200">
        <f>SUMIFS(JOURNAL!$I:$I,JOURNAL!$D:$D,$A83,JOURNAL!$C:$C,AF$5)</f>
        <v>202.38</v>
      </c>
      <c r="AH83" s="41">
        <f>INDEX(BUDGET!$A:$L,MATCH($A83,BUDGET!$A:$A,0),MATCH($AF$5,BUDGET!$5:$5,0))</f>
        <v>400</v>
      </c>
      <c r="AJ83" s="41">
        <f t="shared" si="63"/>
        <v>-197.62</v>
      </c>
      <c r="AK83" s="200">
        <f>SUMIFS(JOURNAL!$I:$I,JOURNAL!$D:$D,$A83,JOURNAL!$C:$C,AK$5)</f>
        <v>91.93</v>
      </c>
      <c r="AM83" s="41">
        <f>INDEX(BUDGET!$A:$N,MATCH($A83,BUDGET!$A:$A,0),MATCH($AK$5,BUDGET!$5:$5,0))</f>
        <v>400</v>
      </c>
      <c r="AO83" s="41">
        <f t="shared" si="64"/>
        <v>-308.07</v>
      </c>
      <c r="AP83" s="200">
        <f>SUMIFS(JOURNAL!$I:$I,JOURNAL!$D:$D,$A83,JOURNAL!$C:$C,AP$5)</f>
        <v>509.24</v>
      </c>
      <c r="AR83" s="41">
        <f>INDEX(BUDGET!$A:$P,MATCH($A83,BUDGET!$A:$A,0),MATCH($AP$5,BUDGET!$5:$5,0))</f>
        <v>400</v>
      </c>
      <c r="AT83" s="41">
        <f t="shared" si="65"/>
        <v>109.24000000000001</v>
      </c>
      <c r="AU83" s="200">
        <f>SUMIFS(JOURNAL!$I:$I,JOURNAL!$D:$D,$A83,JOURNAL!$C:$C,AU$5)</f>
        <v>0</v>
      </c>
      <c r="AW83" s="41">
        <f>INDEX(BUDGET!$A:$R,MATCH($A83,BUDGET!$A:$A,0),MATCH($AU$5,BUDGET!$5:$5,0))</f>
        <v>400</v>
      </c>
      <c r="AY83" s="41">
        <f t="shared" si="66"/>
        <v>-400</v>
      </c>
    </row>
    <row r="84" spans="1:51" x14ac:dyDescent="0.25">
      <c r="A84" s="37" t="str">
        <f>'PLAN COMPTABLE'!C53</f>
        <v>5265 - Party de la rentrée (automne)</v>
      </c>
      <c r="B84" s="147">
        <v>0</v>
      </c>
      <c r="D84" s="147">
        <v>0</v>
      </c>
      <c r="F84" s="147">
        <v>0</v>
      </c>
      <c r="G84" s="52"/>
      <c r="I84" s="51">
        <v>0</v>
      </c>
      <c r="K84" s="51">
        <v>0</v>
      </c>
      <c r="M84" s="51">
        <v>0</v>
      </c>
      <c r="N84" s="52"/>
      <c r="O84" s="51">
        <v>0</v>
      </c>
      <c r="Q84" s="51">
        <v>0</v>
      </c>
      <c r="S84" s="51">
        <v>0</v>
      </c>
      <c r="U84" s="200">
        <v>0</v>
      </c>
      <c r="W84" s="41">
        <v>0</v>
      </c>
      <c r="Y84" s="41">
        <v>0</v>
      </c>
      <c r="AA84" s="200">
        <v>0</v>
      </c>
      <c r="AC84" s="41">
        <v>0</v>
      </c>
      <c r="AE84" s="41">
        <f>AA84-AC84</f>
        <v>0</v>
      </c>
      <c r="AF84" s="200">
        <v>0</v>
      </c>
      <c r="AH84" s="41">
        <f>INDEX(BUDGET!$A:$L,MATCH($A84,BUDGET!$A:$A,0),MATCH($AF$5,BUDGET!$5:$5,0))</f>
        <v>300</v>
      </c>
      <c r="AJ84" s="41">
        <f>AF84-AH84</f>
        <v>-300</v>
      </c>
      <c r="AK84" s="200">
        <v>0</v>
      </c>
      <c r="AM84" s="41">
        <f>INDEX(BUDGET!$A:$N,MATCH($A84,BUDGET!$A:$A,0),MATCH($AK$5,BUDGET!$5:$5,0))</f>
        <v>300</v>
      </c>
      <c r="AO84" s="41">
        <f>AK84-AM84</f>
        <v>-300</v>
      </c>
      <c r="AP84" s="200">
        <f>SUMIFS(JOURNAL!$I:$I,JOURNAL!$D:$D,$A84,JOURNAL!$C:$C,AP$5)</f>
        <v>572.44000000000005</v>
      </c>
      <c r="AR84" s="41">
        <f>INDEX(BUDGET!$A:$P,MATCH($A84,BUDGET!$A:$A,0),MATCH($AP$5,BUDGET!$5:$5,0))</f>
        <v>300</v>
      </c>
      <c r="AT84" s="41">
        <f>AP84-AR84</f>
        <v>272.44000000000005</v>
      </c>
      <c r="AU84" s="200">
        <f>SUMIFS(JOURNAL!$I:$I,JOURNAL!$D:$D,$A84,JOURNAL!$C:$C,AU$5)</f>
        <v>289.23</v>
      </c>
      <c r="AW84" s="41">
        <f>INDEX(BUDGET!$A:$R,MATCH($A84,BUDGET!$A:$A,0),MATCH($AU$5,BUDGET!$5:$5,0))</f>
        <v>400</v>
      </c>
      <c r="AY84" s="41">
        <f>AU84-AW84</f>
        <v>-110.76999999999998</v>
      </c>
    </row>
    <row r="85" spans="1:51" x14ac:dyDescent="0.25">
      <c r="A85" s="37" t="str">
        <f>'PLAN COMPTABLE'!C54</f>
        <v>5270 - Party de mi-session (automne)</v>
      </c>
      <c r="B85" s="147">
        <f>SUMIFS(JOURNAL!$I:$I,JOURNAL!$D:$D,$A85,JOURNAL!$C:$C,B$5)</f>
        <v>745.37</v>
      </c>
      <c r="D85" s="147">
        <f>INDEX(BUDGET!$A:$F,MATCH($A85,BUDGET!$A:$A,0),MATCH($B$5,BUDGET!$5:$5,0))</f>
        <v>150</v>
      </c>
      <c r="F85" s="147">
        <f t="shared" si="58"/>
        <v>595.37</v>
      </c>
      <c r="G85" s="52"/>
      <c r="I85" s="51">
        <f>SUMIFS(JOURNAL!$I:$I,JOURNAL!$D:$D,$A85,JOURNAL!$C:$C,I$5)</f>
        <v>299</v>
      </c>
      <c r="K85" s="51">
        <f>INDEX(BUDGET!$A:$F,MATCH($A85,BUDGET!$A:$A,0),MATCH($I$5,BUDGET!$5:$5,0))</f>
        <v>300</v>
      </c>
      <c r="M85" s="51">
        <f t="shared" si="59"/>
        <v>-1</v>
      </c>
      <c r="N85" s="52"/>
      <c r="O85" s="51">
        <f>SUMIFS(JOURNAL!$I:$I,JOURNAL!$D:$D,$A85,JOURNAL!$C:$C,O$5)</f>
        <v>298.94</v>
      </c>
      <c r="Q85" s="51">
        <f>INDEX(BUDGET!$A:$F,MATCH($A85,BUDGET!$A:$A,0),MATCH($O$5,BUDGET!$5:$5,0))</f>
        <v>300</v>
      </c>
      <c r="S85" s="51">
        <f t="shared" si="67"/>
        <v>-1.0600000000000023</v>
      </c>
      <c r="U85" s="200">
        <f>SUMIFS(JOURNAL!$I:$I,JOURNAL!$D:$D,$A85,JOURNAL!$C:$C,U$5)</f>
        <v>0</v>
      </c>
      <c r="W85" s="41">
        <f>INDEX(BUDGET!$A:$H,MATCH($A85,BUDGET!$A:$A,0),MATCH($U$5,BUDGET!$5:$5,0))</f>
        <v>0</v>
      </c>
      <c r="Y85" s="41">
        <f t="shared" si="61"/>
        <v>0</v>
      </c>
      <c r="AA85" s="200">
        <f>SUMIFS(JOURNAL!$I:$I,JOURNAL!$D:$D,$A85,JOURNAL!$C:$C,AA$5)</f>
        <v>500</v>
      </c>
      <c r="AC85" s="41">
        <f>INDEX(BUDGET!$A:$J,MATCH($A85,BUDGET!$A:$A,0),MATCH($AA$5,BUDGET!$5:$5,0))</f>
        <v>500</v>
      </c>
      <c r="AE85" s="41">
        <f t="shared" si="62"/>
        <v>0</v>
      </c>
      <c r="AF85" s="200">
        <f>SUMIFS(JOURNAL!$I:$I,JOURNAL!$D:$D,$A85,JOURNAL!$C:$C,AF$5)</f>
        <v>156.37</v>
      </c>
      <c r="AH85" s="41">
        <f>INDEX(BUDGET!$A:$L,MATCH($A85,BUDGET!$A:$A,0),MATCH($AF$5,BUDGET!$5:$5,0))</f>
        <v>160</v>
      </c>
      <c r="AJ85" s="41">
        <f t="shared" ref="AJ85" si="68">AF85-AH85</f>
        <v>-3.6299999999999955</v>
      </c>
      <c r="AK85" s="200">
        <f>SUMIFS(JOURNAL!$I:$I,JOURNAL!$D:$D,$A85,JOURNAL!$C:$C,AK$5)</f>
        <v>317.33</v>
      </c>
      <c r="AM85" s="41">
        <f>INDEX(BUDGET!$A:$N,MATCH($A85,BUDGET!$A:$A,0),MATCH($AK$5,BUDGET!$5:$5,0))</f>
        <v>400</v>
      </c>
      <c r="AO85" s="41">
        <f t="shared" ref="AO85" si="69">AK85-AM85</f>
        <v>-82.670000000000016</v>
      </c>
      <c r="AP85" s="200">
        <f>SUMIFS(JOURNAL!$I:$I,JOURNAL!$D:$D,$A85,JOURNAL!$C:$C,AP$5)</f>
        <v>121.17</v>
      </c>
      <c r="AR85" s="41">
        <f>INDEX(BUDGET!$A:$P,MATCH($A85,BUDGET!$A:$A,0),MATCH($AP$5,BUDGET!$5:$5,0))</f>
        <v>400</v>
      </c>
      <c r="AT85" s="41">
        <f t="shared" ref="AT85" si="70">AP85-AR85</f>
        <v>-278.83</v>
      </c>
      <c r="AU85" s="200">
        <f>SUMIFS(JOURNAL!$I:$I,JOURNAL!$D:$D,$A85,JOURNAL!$C:$C,AU$5)</f>
        <v>0</v>
      </c>
      <c r="AW85" s="41">
        <f>INDEX(BUDGET!$A:$R,MATCH($A85,BUDGET!$A:$A,0),MATCH($AU$5,BUDGET!$5:$5,0))</f>
        <v>400</v>
      </c>
      <c r="AY85" s="41">
        <f t="shared" ref="AY85" si="71">AU85-AW85</f>
        <v>-400</v>
      </c>
    </row>
    <row r="86" spans="1:51" x14ac:dyDescent="0.25">
      <c r="A86" s="37" t="str">
        <f>'PLAN COMPTABLE'!C55</f>
        <v>5271 - Party de fin de session (automne)</v>
      </c>
      <c r="B86" s="147">
        <f>SUMIFS(JOURNAL!$I:$I,JOURNAL!$D:$D,$A86,JOURNAL!$C:$C,B$5)</f>
        <v>380.22</v>
      </c>
      <c r="D86" s="147">
        <f>INDEX(BUDGET!$A:$F,MATCH($A86,BUDGET!$A:$A,0),MATCH($B$5,BUDGET!$5:$5,0))</f>
        <v>350</v>
      </c>
      <c r="F86" s="147">
        <f t="shared" si="58"/>
        <v>30.220000000000027</v>
      </c>
      <c r="G86" s="52"/>
      <c r="I86" s="51">
        <f>SUMIFS(JOURNAL!$I:$I,JOURNAL!$D:$D,$A86,JOURNAL!$C:$C,I$5)</f>
        <v>255</v>
      </c>
      <c r="K86" s="51">
        <f>INDEX(BUDGET!$A:$F,MATCH($A86,BUDGET!$A:$A,0),MATCH($I$5,BUDGET!$5:$5,0))</f>
        <v>300</v>
      </c>
      <c r="M86" s="51">
        <f t="shared" si="59"/>
        <v>-45</v>
      </c>
      <c r="N86" s="52"/>
      <c r="O86" s="51">
        <f>SUMIFS(JOURNAL!$I:$I,JOURNAL!$D:$D,$A86,JOURNAL!$C:$C,O$5)</f>
        <v>300</v>
      </c>
      <c r="Q86" s="51">
        <f>INDEX(BUDGET!$A:$F,MATCH($A86,BUDGET!$A:$A,0),MATCH($O$5,BUDGET!$5:$5,0))</f>
        <v>300</v>
      </c>
      <c r="S86" s="51">
        <f t="shared" si="67"/>
        <v>0</v>
      </c>
      <c r="U86" s="200">
        <f>SUMIFS(JOURNAL!$I:$I,JOURNAL!$D:$D,$A86,JOURNAL!$C:$C,U$5)</f>
        <v>0</v>
      </c>
      <c r="W86" s="41">
        <f>INDEX(BUDGET!$A:$H,MATCH($A86,BUDGET!$A:$A,0),MATCH($U$5,BUDGET!$5:$5,0))</f>
        <v>0</v>
      </c>
      <c r="Y86" s="41">
        <f t="shared" si="61"/>
        <v>0</v>
      </c>
      <c r="AA86" s="200">
        <f>SUMIFS(JOURNAL!$I:$I,JOURNAL!$D:$D,$A86,JOURNAL!$C:$C,AA$5)</f>
        <v>0</v>
      </c>
      <c r="AC86" s="41">
        <f>INDEX(BUDGET!$A:$J,MATCH($A86,BUDGET!$A:$A,0),MATCH($AA$5,BUDGET!$5:$5,0))</f>
        <v>0</v>
      </c>
      <c r="AE86" s="41">
        <f>AA86-AC86</f>
        <v>0</v>
      </c>
      <c r="AF86" s="200">
        <f>SUMIFS(JOURNAL!$I:$I,JOURNAL!$D:$D,$A86,JOURNAL!$C:$C,AF$5)</f>
        <v>421.93999999999994</v>
      </c>
      <c r="AH86" s="41">
        <f>INDEX(BUDGET!$A:$L,MATCH($A86,BUDGET!$A:$A,0),MATCH($AF$5,BUDGET!$5:$5,0))</f>
        <v>500</v>
      </c>
      <c r="AJ86" s="41">
        <f>AF86-AH86</f>
        <v>-78.060000000000059</v>
      </c>
      <c r="AK86" s="200">
        <f>SUMIFS(JOURNAL!$I:$I,JOURNAL!$D:$D,$A86,JOURNAL!$C:$C,AK$5)</f>
        <v>231.75</v>
      </c>
      <c r="AM86" s="41">
        <f>INDEX(BUDGET!$A:$N,MATCH($A86,BUDGET!$A:$A,0),MATCH($AK$5,BUDGET!$5:$5,0))</f>
        <v>500</v>
      </c>
      <c r="AO86" s="41">
        <f>AK86-AM86</f>
        <v>-268.25</v>
      </c>
      <c r="AP86" s="200">
        <f>SUMIFS(JOURNAL!$I:$I,JOURNAL!$D:$D,$A86,JOURNAL!$C:$C,AP$5)</f>
        <v>390.87</v>
      </c>
      <c r="AR86" s="41">
        <f>INDEX(BUDGET!$A:$P,MATCH($A86,BUDGET!$A:$A,0),MATCH($AP$5,BUDGET!$5:$5,0))</f>
        <v>500</v>
      </c>
      <c r="AT86" s="41">
        <f>AP86-AR86</f>
        <v>-109.13</v>
      </c>
      <c r="AU86" s="200">
        <f>SUMIFS(JOURNAL!$I:$I,JOURNAL!$D:$D,$A86,JOURNAL!$C:$C,AU$5)</f>
        <v>116.52000000000001</v>
      </c>
      <c r="AW86" s="41">
        <f>INDEX(BUDGET!$A:$R,MATCH($A86,BUDGET!$A:$A,0),MATCH($AU$5,BUDGET!$5:$5,0))</f>
        <v>500</v>
      </c>
      <c r="AY86" s="41">
        <f>AU86-AW86</f>
        <v>-383.48</v>
      </c>
    </row>
    <row r="87" spans="1:51" x14ac:dyDescent="0.25">
      <c r="A87" s="37" t="str">
        <f>'PLAN COMPTABLE'!C56</f>
        <v>5272 - Party de début de session (hiver)</v>
      </c>
      <c r="B87" s="147">
        <f>SUMIFS(JOURNAL!$I:$I,JOURNAL!$D:$D,$A87,JOURNAL!$C:$C,B$5)</f>
        <v>0</v>
      </c>
      <c r="D87" s="147">
        <f>INDEX(BUDGET!$A:$F,MATCH($A87,BUDGET!$A:$A,0),MATCH($B$5,BUDGET!$5:$5,0))</f>
        <v>350</v>
      </c>
      <c r="F87" s="147">
        <f t="shared" si="58"/>
        <v>-350</v>
      </c>
      <c r="G87" s="52"/>
      <c r="I87" s="51">
        <f>SUMIFS(JOURNAL!$I:$I,JOURNAL!$D:$D,$A87,JOURNAL!$C:$C,I$5)</f>
        <v>0</v>
      </c>
      <c r="K87" s="51">
        <v>0</v>
      </c>
      <c r="M87" s="51">
        <f t="shared" si="59"/>
        <v>0</v>
      </c>
      <c r="N87" s="52"/>
      <c r="O87" s="51">
        <f>SUMIFS(JOURNAL!$I:$I,JOURNAL!$D:$D,$A87,JOURNAL!$C:$C,O$5)</f>
        <v>110</v>
      </c>
      <c r="Q87" s="51">
        <f>INDEX(BUDGET!$A:$F,MATCH($A87,BUDGET!$A:$A,0),MATCH($O$5,BUDGET!$5:$5,0))</f>
        <v>100</v>
      </c>
      <c r="S87" s="51">
        <f t="shared" si="67"/>
        <v>10</v>
      </c>
      <c r="U87" s="200">
        <f>SUMIFS(JOURNAL!$I:$I,JOURNAL!$D:$D,$A87,JOURNAL!$C:$C,U$5)</f>
        <v>0</v>
      </c>
      <c r="W87" s="41">
        <f>INDEX(BUDGET!$A:$H,MATCH($A87,BUDGET!$A:$A,0),MATCH($U$5,BUDGET!$5:$5,0))</f>
        <v>0</v>
      </c>
      <c r="Y87" s="41">
        <f t="shared" si="61"/>
        <v>0</v>
      </c>
      <c r="AA87" s="200">
        <f>SUMIFS(JOURNAL!$I:$I,JOURNAL!$D:$D,$A87,JOURNAL!$C:$C,AA$5)</f>
        <v>0</v>
      </c>
      <c r="AC87" s="41">
        <f>INDEX(BUDGET!$A:$J,MATCH($A87,BUDGET!$A:$A,0),MATCH($AA$5,BUDGET!$5:$5,0))</f>
        <v>500</v>
      </c>
      <c r="AE87" s="41">
        <f t="shared" si="62"/>
        <v>-500</v>
      </c>
      <c r="AF87" s="200">
        <f>SUMIFS(JOURNAL!$I:$I,JOURNAL!$D:$D,$A87,JOURNAL!$C:$C,AF$5)</f>
        <v>436.17</v>
      </c>
      <c r="AH87" s="41">
        <f>INDEX(BUDGET!$A:$L,MATCH($A87,BUDGET!$A:$A,0),MATCH($AF$5,BUDGET!$5:$5,0))</f>
        <v>500</v>
      </c>
      <c r="AJ87" s="41">
        <f t="shared" ref="AJ87:AJ89" si="72">AF87-AH87</f>
        <v>-63.829999999999984</v>
      </c>
      <c r="AK87" s="200">
        <f>SUMIFS(JOURNAL!$I:$I,JOURNAL!$D:$D,$A87,JOURNAL!$C:$C,AK$5)</f>
        <v>0</v>
      </c>
      <c r="AM87" s="41">
        <f>INDEX(BUDGET!$A:$N,MATCH($A87,BUDGET!$A:$A,0),MATCH($AK$5,BUDGET!$5:$5,0))</f>
        <v>500</v>
      </c>
      <c r="AO87" s="41">
        <f t="shared" ref="AO87:AO89" si="73">AK87-AM87</f>
        <v>-500</v>
      </c>
      <c r="AP87" s="200">
        <f>SUMIFS(JOURNAL!$I:$I,JOURNAL!$D:$D,$A87,JOURNAL!$C:$C,AP$5)</f>
        <v>194</v>
      </c>
      <c r="AR87" s="41">
        <f>INDEX(BUDGET!$A:$P,MATCH($A87,BUDGET!$A:$A,0),MATCH($AP$5,BUDGET!$5:$5,0))</f>
        <v>500</v>
      </c>
      <c r="AT87" s="41">
        <f t="shared" ref="AT87:AT89" si="74">AP87-AR87</f>
        <v>-306</v>
      </c>
      <c r="AU87" s="200">
        <f>SUMIFS(JOURNAL!$I:$I,JOURNAL!$D:$D,$A87,JOURNAL!$C:$C,AU$5)</f>
        <v>0</v>
      </c>
      <c r="AW87" s="41">
        <f>INDEX(BUDGET!$A:$R,MATCH($A87,BUDGET!$A:$A,0),MATCH($AU$5,BUDGET!$5:$5,0))</f>
        <v>500</v>
      </c>
      <c r="AY87" s="41">
        <f t="shared" ref="AY87:AY89" si="75">AU87-AW87</f>
        <v>-500</v>
      </c>
    </row>
    <row r="88" spans="1:51" x14ac:dyDescent="0.25">
      <c r="A88" s="37" t="str">
        <f>'PLAN COMPTABLE'!C57</f>
        <v>5273 - Party de mi-session (hiver)</v>
      </c>
      <c r="B88" s="147">
        <f>SUMIFS(JOURNAL!$I:$I,JOURNAL!$D:$D,$A88,JOURNAL!$C:$C,B$5)</f>
        <v>351.9</v>
      </c>
      <c r="D88" s="147">
        <f>INDEX(BUDGET!$A:$F,MATCH($A88,BUDGET!$A:$A,0),MATCH($B$5,BUDGET!$5:$5,0))</f>
        <v>350</v>
      </c>
      <c r="F88" s="147">
        <f t="shared" si="58"/>
        <v>1.8999999999999773</v>
      </c>
      <c r="G88" s="52"/>
      <c r="I88" s="51">
        <f>SUMIFS(JOURNAL!$I:$I,JOURNAL!$D:$D,$A88,JOURNAL!$C:$C,I$5)</f>
        <v>202.45</v>
      </c>
      <c r="K88" s="51">
        <f>INDEX(BUDGET!$A:$F,MATCH($A88,BUDGET!$A:$A,0),MATCH($I$5,BUDGET!$5:$5,0))</f>
        <v>300</v>
      </c>
      <c r="M88" s="51">
        <f t="shared" si="59"/>
        <v>-97.550000000000011</v>
      </c>
      <c r="N88" s="52"/>
      <c r="O88" s="51">
        <f>SUMIFS(JOURNAL!$I:$I,JOURNAL!$D:$D,$A88,JOURNAL!$C:$C,O$5)</f>
        <v>301.75</v>
      </c>
      <c r="Q88" s="51">
        <f>INDEX(BUDGET!$A:$F,MATCH($A88,BUDGET!$A:$A,0),MATCH($O$5,BUDGET!$5:$5,0))</f>
        <v>300</v>
      </c>
      <c r="S88" s="51">
        <f t="shared" si="67"/>
        <v>1.75</v>
      </c>
      <c r="U88" s="200">
        <f>SUMIFS(JOURNAL!$I:$I,JOURNAL!$D:$D,$A88,JOURNAL!$C:$C,U$5)</f>
        <v>0</v>
      </c>
      <c r="W88" s="41">
        <f>INDEX(BUDGET!$A:$H,MATCH($A88,BUDGET!$A:$A,0),MATCH($U$5,BUDGET!$5:$5,0))</f>
        <v>100</v>
      </c>
      <c r="Y88" s="41">
        <f t="shared" si="61"/>
        <v>-100</v>
      </c>
      <c r="AA88" s="200">
        <f>SUMIFS(JOURNAL!$I:$I,JOURNAL!$D:$D,$A88,JOURNAL!$C:$C,AA$5)</f>
        <v>0</v>
      </c>
      <c r="AC88" s="41">
        <f>INDEX(BUDGET!$A:$J,MATCH($A88,BUDGET!$A:$A,0),MATCH($AA$5,BUDGET!$5:$5,0))</f>
        <v>500</v>
      </c>
      <c r="AE88" s="41">
        <f t="shared" si="62"/>
        <v>-500</v>
      </c>
      <c r="AF88" s="200">
        <f>SUMIFS(JOURNAL!$I:$I,JOURNAL!$D:$D,$A88,JOURNAL!$C:$C,AF$5)</f>
        <v>535.52</v>
      </c>
      <c r="AH88" s="41">
        <f>INDEX(BUDGET!$A:$L,MATCH($A88,BUDGET!$A:$A,0),MATCH($AF$5,BUDGET!$5:$5,0))</f>
        <v>500</v>
      </c>
      <c r="AJ88" s="41">
        <f t="shared" si="72"/>
        <v>35.519999999999982</v>
      </c>
      <c r="AK88" s="200">
        <f>SUMIFS(JOURNAL!$I:$I,JOURNAL!$D:$D,$A88,JOURNAL!$C:$C,AK$5)</f>
        <v>640.95000000000005</v>
      </c>
      <c r="AM88" s="41">
        <f>INDEX(BUDGET!$A:$N,MATCH($A88,BUDGET!$A:$A,0),MATCH($AK$5,BUDGET!$5:$5,0))</f>
        <v>500</v>
      </c>
      <c r="AO88" s="41">
        <f t="shared" si="73"/>
        <v>140.95000000000005</v>
      </c>
      <c r="AP88" s="200">
        <f>SUMIFS(JOURNAL!$I:$I,JOURNAL!$D:$D,$A88,JOURNAL!$C:$C,AP$5)</f>
        <v>0</v>
      </c>
      <c r="AR88" s="41">
        <f>INDEX(BUDGET!$A:$P,MATCH($A88,BUDGET!$A:$A,0),MATCH($AP$5,BUDGET!$5:$5,0))</f>
        <v>500</v>
      </c>
      <c r="AT88" s="41">
        <f t="shared" si="74"/>
        <v>-500</v>
      </c>
      <c r="AU88" s="200">
        <f>SUMIFS(JOURNAL!$I:$I,JOURNAL!$D:$D,$A88,JOURNAL!$C:$C,AU$5)</f>
        <v>0</v>
      </c>
      <c r="AW88" s="41">
        <f>INDEX(BUDGET!$A:$R,MATCH($A88,BUDGET!$A:$A,0),MATCH($AU$5,BUDGET!$5:$5,0))</f>
        <v>500</v>
      </c>
      <c r="AY88" s="41">
        <f t="shared" si="75"/>
        <v>-500</v>
      </c>
    </row>
    <row r="89" spans="1:51" x14ac:dyDescent="0.25">
      <c r="A89" s="37" t="str">
        <f>'PLAN COMPTABLE'!C58</f>
        <v>5274 - Party de fin de session (hiver)</v>
      </c>
      <c r="B89" s="147">
        <f>SUMIFS(JOURNAL!$I:$I,JOURNAL!$D:$D,$A89,JOURNAL!$C:$C,B$5)</f>
        <v>351.9</v>
      </c>
      <c r="D89" s="147">
        <f>INDEX(BUDGET!$A:$F,MATCH($A89,BUDGET!$A:$A,0),MATCH($B$5,BUDGET!$5:$5,0))</f>
        <v>350</v>
      </c>
      <c r="F89" s="147">
        <f t="shared" si="58"/>
        <v>1.8999999999999773</v>
      </c>
      <c r="G89" s="52"/>
      <c r="I89" s="51">
        <f>SUMIFS(JOURNAL!$I:$I,JOURNAL!$D:$D,$A89,JOURNAL!$C:$C,I$5)</f>
        <v>396.4</v>
      </c>
      <c r="K89" s="51">
        <f>INDEX(BUDGET!$A:$F,MATCH($A89,BUDGET!$A:$A,0),MATCH($I$5,BUDGET!$5:$5,0))</f>
        <v>300</v>
      </c>
      <c r="M89" s="51">
        <f t="shared" si="59"/>
        <v>96.399999999999977</v>
      </c>
      <c r="N89" s="52"/>
      <c r="O89" s="51">
        <f>SUMIFS(JOURNAL!$I:$I,JOURNAL!$D:$D,$A89,JOURNAL!$C:$C,O$5)</f>
        <v>0</v>
      </c>
      <c r="Q89" s="51">
        <f>INDEX(BUDGET!$A:$F,MATCH($A89,BUDGET!$A:$A,0),MATCH($O$5,BUDGET!$5:$5,0))</f>
        <v>400</v>
      </c>
      <c r="S89" s="51">
        <f t="shared" si="67"/>
        <v>-400</v>
      </c>
      <c r="U89" s="200">
        <f>SUMIFS(JOURNAL!$I:$I,JOURNAL!$D:$D,$A89,JOURNAL!$C:$C,U$5)</f>
        <v>0</v>
      </c>
      <c r="W89" s="41">
        <f>INDEX(BUDGET!$A:$H,MATCH($A89,BUDGET!$A:$A,0),MATCH($U$5,BUDGET!$5:$5,0))</f>
        <v>100</v>
      </c>
      <c r="Y89" s="41">
        <f t="shared" si="61"/>
        <v>-100</v>
      </c>
      <c r="AA89" s="200">
        <f>SUMIFS(JOURNAL!$I:$I,JOURNAL!$D:$D,$A89,JOURNAL!$C:$C,AA$5)</f>
        <v>450</v>
      </c>
      <c r="AC89" s="41">
        <f>INDEX(BUDGET!$A:$J,MATCH($A89,BUDGET!$A:$A,0),MATCH($AA$5,BUDGET!$5:$5,0))</f>
        <v>500</v>
      </c>
      <c r="AE89" s="41">
        <f t="shared" si="62"/>
        <v>-50</v>
      </c>
      <c r="AF89" s="200">
        <f>SUMIFS(JOURNAL!$I:$I,JOURNAL!$D:$D,$A89,JOURNAL!$C:$C,AF$5)</f>
        <v>451.15</v>
      </c>
      <c r="AH89" s="41">
        <f>INDEX(BUDGET!$A:$L,MATCH($A89,BUDGET!$A:$A,0),MATCH($AF$5,BUDGET!$5:$5,0))</f>
        <v>500</v>
      </c>
      <c r="AJ89" s="41">
        <f t="shared" si="72"/>
        <v>-48.850000000000023</v>
      </c>
      <c r="AK89" s="200">
        <f>SUMIFS(JOURNAL!$I:$I,JOURNAL!$D:$D,$A89,JOURNAL!$C:$C,AK$5)</f>
        <v>215</v>
      </c>
      <c r="AM89" s="41">
        <f>INDEX(BUDGET!$A:$N,MATCH($A89,BUDGET!$A:$A,0),MATCH($AK$5,BUDGET!$5:$5,0))</f>
        <v>500</v>
      </c>
      <c r="AO89" s="41">
        <f t="shared" si="73"/>
        <v>-285</v>
      </c>
      <c r="AP89" s="200">
        <f>SUMIFS(JOURNAL!$I:$I,JOURNAL!$D:$D,$A89,JOURNAL!$C:$C,AP$5)</f>
        <v>0</v>
      </c>
      <c r="AR89" s="41">
        <f>INDEX(BUDGET!$A:$P,MATCH($A89,BUDGET!$A:$A,0),MATCH($AP$5,BUDGET!$5:$5,0))</f>
        <v>500</v>
      </c>
      <c r="AT89" s="41">
        <f t="shared" si="74"/>
        <v>-500</v>
      </c>
      <c r="AU89" s="200">
        <f>SUMIFS(JOURNAL!$I:$I,JOURNAL!$D:$D,$A89,JOURNAL!$C:$C,AU$5)</f>
        <v>0</v>
      </c>
      <c r="AW89" s="41">
        <f>INDEX(BUDGET!$A:$R,MATCH($A89,BUDGET!$A:$A,0),MATCH($AU$5,BUDGET!$5:$5,0))</f>
        <v>500</v>
      </c>
      <c r="AY89" s="41">
        <f t="shared" si="75"/>
        <v>-500</v>
      </c>
    </row>
    <row r="90" spans="1:51" ht="13" x14ac:dyDescent="0.3">
      <c r="A90" s="30" t="s">
        <v>110</v>
      </c>
      <c r="B90" s="163">
        <f>SUM(B76:B89)</f>
        <v>4516.2699999999995</v>
      </c>
      <c r="D90" s="148">
        <f>SUM(D76:D89)</f>
        <v>7050</v>
      </c>
      <c r="F90" s="148">
        <f t="shared" si="58"/>
        <v>-2533.7300000000005</v>
      </c>
      <c r="G90" s="54"/>
      <c r="I90" s="53">
        <f>SUM(I76:I89)</f>
        <v>4948.6799999999994</v>
      </c>
      <c r="K90" s="53">
        <f>SUM(K76:K89)</f>
        <v>5400</v>
      </c>
      <c r="M90" s="53">
        <f>I90-K90</f>
        <v>-451.32000000000062</v>
      </c>
      <c r="N90" s="54"/>
      <c r="O90" s="53">
        <f>SUM(O76:O89)</f>
        <v>2981.32</v>
      </c>
      <c r="Q90" s="53">
        <f>SUM(Q76:Q89)</f>
        <v>5550</v>
      </c>
      <c r="S90" s="53">
        <f>O90-Q90</f>
        <v>-2568.6799999999998</v>
      </c>
      <c r="U90" s="206">
        <f>SUM(U76:U89)</f>
        <v>800</v>
      </c>
      <c r="W90" s="198">
        <f>SUM(W76:W89)</f>
        <v>2850</v>
      </c>
      <c r="Y90" s="198">
        <f>SUM(Y76:Y89)</f>
        <v>-2050</v>
      </c>
      <c r="AA90" s="206">
        <f>SUM(AA76:AA89)</f>
        <v>2537.42</v>
      </c>
      <c r="AC90" s="198">
        <f>SUM(AC76:AC89)</f>
        <v>5700</v>
      </c>
      <c r="AE90" s="198">
        <f>SUM(AE76:AE89)</f>
        <v>-3162.58</v>
      </c>
      <c r="AF90" s="206">
        <f>SUM(AF76:AF89)</f>
        <v>3497.16</v>
      </c>
      <c r="AH90" s="198">
        <f>SUM(AH76:AH89)</f>
        <v>7900</v>
      </c>
      <c r="AJ90" s="198">
        <f>SUM(AJ76:AJ89)</f>
        <v>-4402.84</v>
      </c>
      <c r="AK90" s="206">
        <f>SUM(AK76:AK89)</f>
        <v>3690.42</v>
      </c>
      <c r="AM90" s="198">
        <f>SUM(AM76:AM89)</f>
        <v>7640</v>
      </c>
      <c r="AO90" s="198">
        <f>SUM(AO76:AO89)</f>
        <v>-3949.58</v>
      </c>
      <c r="AP90" s="206">
        <f>SUM(AP76:AP89)</f>
        <v>2917.4300000000003</v>
      </c>
      <c r="AR90" s="198">
        <f>SUM(AR76:AR89)</f>
        <v>6700</v>
      </c>
      <c r="AT90" s="198">
        <f>SUM(AT76:AT89)</f>
        <v>-3782.57</v>
      </c>
      <c r="AU90" s="206">
        <f>SUM(AU76:AU89)</f>
        <v>885.25</v>
      </c>
      <c r="AW90" s="198">
        <f>SUM(AW76:AW89)</f>
        <v>6800</v>
      </c>
      <c r="AY90" s="198">
        <f>SUM(AY76:AY89)</f>
        <v>-5914.75</v>
      </c>
    </row>
    <row r="91" spans="1:51" x14ac:dyDescent="0.25">
      <c r="B91" s="159"/>
      <c r="D91" s="55"/>
      <c r="F91" s="55"/>
      <c r="G91" s="56"/>
      <c r="I91" s="55"/>
      <c r="K91" s="55"/>
      <c r="M91" s="55"/>
      <c r="N91" s="56"/>
      <c r="O91" s="55"/>
      <c r="Q91" s="55"/>
      <c r="S91" s="55"/>
      <c r="U91" s="200"/>
      <c r="AA91" s="200"/>
      <c r="AF91" s="200"/>
      <c r="AK91" s="200"/>
      <c r="AP91" s="200"/>
      <c r="AU91" s="200"/>
    </row>
    <row r="92" spans="1:51" ht="13" x14ac:dyDescent="0.25">
      <c r="A92" s="30" t="s">
        <v>111</v>
      </c>
      <c r="B92" s="160"/>
      <c r="D92" s="49"/>
      <c r="F92" s="49"/>
      <c r="G92" s="50"/>
      <c r="I92" s="49"/>
      <c r="K92" s="49"/>
      <c r="M92" s="49"/>
      <c r="N92" s="50"/>
      <c r="O92" s="49"/>
      <c r="Q92" s="49"/>
      <c r="S92" s="49"/>
      <c r="U92" s="200"/>
      <c r="AA92" s="200"/>
      <c r="AF92" s="200"/>
      <c r="AK92" s="200"/>
      <c r="AP92" s="200"/>
      <c r="AU92" s="200"/>
    </row>
    <row r="93" spans="1:51" x14ac:dyDescent="0.25">
      <c r="A93" s="31" t="str">
        <f>'PLAN COMPTABLE'!C59</f>
        <v>5300 - Colloque des Cycles supérieurs</v>
      </c>
      <c r="B93" s="147">
        <f>SUMIFS(JOURNAL!$I:$I,JOURNAL!$D:$D,$A93,JOURNAL!$C:$C,B$5)</f>
        <v>540.54</v>
      </c>
      <c r="D93" s="147">
        <f>INDEX(BUDGET!$A:$F,MATCH($A93,BUDGET!$A:$A,0),MATCH($B$5,BUDGET!$5:$5,0))</f>
        <v>1000</v>
      </c>
      <c r="F93" s="147">
        <f>B93-D93</f>
        <v>-459.46000000000004</v>
      </c>
      <c r="G93" s="52"/>
      <c r="I93" s="51">
        <f>SUMIFS(JOURNAL!$I:$I,JOURNAL!$D:$D,$A93,JOURNAL!$C:$C,I$5)</f>
        <v>1074.32</v>
      </c>
      <c r="K93" s="51">
        <f>INDEX(BUDGET!$A:$F,MATCH($A93,BUDGET!$A:$A,0),MATCH($I$5,BUDGET!$5:$5,0))</f>
        <v>1000</v>
      </c>
      <c r="M93" s="51">
        <f>I93-K93</f>
        <v>74.319999999999936</v>
      </c>
      <c r="N93" s="52"/>
      <c r="O93" s="51">
        <f>SUMIFS(JOURNAL!$I:$I,JOURNAL!$D:$D,$A93,JOURNAL!$C:$C,O$5)</f>
        <v>247</v>
      </c>
      <c r="Q93" s="51">
        <f>INDEX(BUDGET!$A:$F,MATCH($A93,BUDGET!$A:$A,0),MATCH($O$5,BUDGET!$5:$5,0))</f>
        <v>850</v>
      </c>
      <c r="S93" s="51">
        <f>O93-Q93</f>
        <v>-603</v>
      </c>
      <c r="U93" s="200">
        <f>SUMIFS(JOURNAL!$I:$I,JOURNAL!$D:$D,$A93,JOURNAL!$C:$C,U$5)</f>
        <v>450</v>
      </c>
      <c r="W93" s="41">
        <f>INDEX(BUDGET!$A:$H,MATCH($A93,BUDGET!$A:$A,0),MATCH($U$5,BUDGET!$5:$5,0))</f>
        <v>450</v>
      </c>
      <c r="Y93" s="41">
        <f>U93-W93</f>
        <v>0</v>
      </c>
      <c r="AA93" s="200">
        <f>SUMIFS(JOURNAL!$I:$I,JOURNAL!$D:$D,$A93,JOURNAL!$C:$C,AA$5)</f>
        <v>1205.52</v>
      </c>
      <c r="AC93" s="41">
        <f>INDEX(BUDGET!$A:$J,MATCH($A93,BUDGET!$A:$A,0),MATCH($AA$5,BUDGET!$5:$5,0))</f>
        <v>500</v>
      </c>
      <c r="AE93" s="41">
        <f>AA93-AC93</f>
        <v>705.52</v>
      </c>
      <c r="AF93" s="200">
        <f>SUMIFS(JOURNAL!$I:$I,JOURNAL!$D:$D,$A93,JOURNAL!$C:$C,AF$5)</f>
        <v>1411.03</v>
      </c>
      <c r="AH93" s="41">
        <f>INDEX(BUDGET!$A:$L,MATCH(A93,BUDGET!$A:$A,0),MATCH($AF$5,BUDGET!$5:$5,0))</f>
        <v>500</v>
      </c>
      <c r="AJ93" s="41">
        <f>AF93-AH93</f>
        <v>911.03</v>
      </c>
      <c r="AK93" s="200">
        <f>SUMIFS(JOURNAL!$I:$I,JOURNAL!$D:$D,$A93,JOURNAL!$C:$C,AK$5)</f>
        <v>942.93000000000006</v>
      </c>
      <c r="AM93" s="41">
        <f>INDEX(BUDGET!$A:$N,MATCH(A93,BUDGET!$A:$A,0),MATCH($AK$5,BUDGET!$5:$5,0))</f>
        <v>1250</v>
      </c>
      <c r="AO93" s="41">
        <f>AK93-AM93</f>
        <v>-307.06999999999994</v>
      </c>
      <c r="AP93" s="200">
        <f>SUMIFS(JOURNAL!$I:$I,JOURNAL!$D:$D,$A93,JOURNAL!$C:$C,AP$5)</f>
        <v>3935.8500000000004</v>
      </c>
      <c r="AR93" s="41">
        <f>INDEX(BUDGET!$A:$P,MATCH($A93,BUDGET!$A:$A,0),MATCH($AP$5,BUDGET!$5:$5,0))</f>
        <v>1250</v>
      </c>
      <c r="AT93" s="41">
        <f>AP93-AR93</f>
        <v>2685.8500000000004</v>
      </c>
      <c r="AU93" s="200">
        <f>SUMIFS(JOURNAL!$I:$I,JOURNAL!$D:$D,$A93,JOURNAL!$C:$C,AU$5)</f>
        <v>0</v>
      </c>
      <c r="AW93" s="41">
        <f>INDEX(BUDGET!$A:$R,MATCH($A93,BUDGET!$A:$A,0),MATCH($AU$5,BUDGET!$5:$5,0))</f>
        <v>1250</v>
      </c>
      <c r="AY93" s="41">
        <f>AU93-AW93</f>
        <v>-1250</v>
      </c>
    </row>
    <row r="94" spans="1:51" x14ac:dyDescent="0.25">
      <c r="A94" s="31" t="str">
        <f>'PLAN COMPTABLE'!C60</f>
        <v>5310 - Bourses - Colloque Cycles supérieurs</v>
      </c>
      <c r="B94" s="147">
        <f>SUMIFS(JOURNAL!$I:$I,JOURNAL!$D:$D,$A94,JOURNAL!$C:$C,B$5)</f>
        <v>475</v>
      </c>
      <c r="D94" s="147">
        <f>INDEX(BUDGET!$A:$F,MATCH($A94,BUDGET!$A:$A,0),MATCH($B$5,BUDGET!$5:$5,0))</f>
        <v>500</v>
      </c>
      <c r="F94" s="147">
        <f t="shared" ref="F94:F95" si="76">B94-D94</f>
        <v>-25</v>
      </c>
      <c r="G94" s="52"/>
      <c r="I94" s="51">
        <f>SUMIFS(JOURNAL!$I:$I,JOURNAL!$D:$D,$A94,JOURNAL!$C:$C,I$5)</f>
        <v>500</v>
      </c>
      <c r="K94" s="51">
        <f>INDEX(BUDGET!$A:$F,MATCH($A94,BUDGET!$A:$A,0),MATCH($I$5,BUDGET!$5:$5,0))</f>
        <v>500</v>
      </c>
      <c r="M94" s="51">
        <f t="shared" ref="M94:M95" si="77">I94-K94</f>
        <v>0</v>
      </c>
      <c r="N94" s="52"/>
      <c r="O94" s="51">
        <f>SUMIFS(JOURNAL!$I:$I,JOURNAL!$D:$D,$A94,JOURNAL!$C:$C,O$5)</f>
        <v>0</v>
      </c>
      <c r="Q94" s="51">
        <f>INDEX(BUDGET!$A:$F,MATCH($A94,BUDGET!$A:$A,0),MATCH($O$5,BUDGET!$5:$5,0))</f>
        <v>500</v>
      </c>
      <c r="S94" s="51">
        <f t="shared" ref="S94:S96" si="78">O94-Q94</f>
        <v>-500</v>
      </c>
      <c r="U94" s="200">
        <f>SUMIFS(JOURNAL!$I:$I,JOURNAL!$D:$D,$A94,JOURNAL!$C:$C,U$5)</f>
        <v>1000</v>
      </c>
      <c r="W94" s="41">
        <f>INDEX(BUDGET!$A:$H,MATCH($A94,BUDGET!$A:$A,0),MATCH($U$5,BUDGET!$5:$5,0))</f>
        <v>1000</v>
      </c>
      <c r="Y94" s="41">
        <f t="shared" ref="Y94:Y95" si="79">U94-W94</f>
        <v>0</v>
      </c>
      <c r="AA94" s="200">
        <f>SUMIFS(JOURNAL!$I:$I,JOURNAL!$D:$D,$A94,JOURNAL!$C:$C,AA$5)</f>
        <v>2250</v>
      </c>
      <c r="AC94" s="41">
        <f>INDEX(BUDGET!$A:$J,MATCH($A94,BUDGET!$A:$A,0),MATCH($AA$5,BUDGET!$5:$5,0))</f>
        <v>1250</v>
      </c>
      <c r="AE94" s="41">
        <f t="shared" ref="AE94:AE95" si="80">AA94-AC94</f>
        <v>1000</v>
      </c>
      <c r="AF94" s="200">
        <f>SUMIFS(JOURNAL!$I:$I,JOURNAL!$D:$D,$A94,JOURNAL!$C:$C,AF$5)</f>
        <v>780</v>
      </c>
      <c r="AH94" s="41">
        <f>INDEX(BUDGET!$A:$L,MATCH(A94,BUDGET!$A:$A,0),MATCH($AF$5,BUDGET!$5:$5,0))</f>
        <v>1000</v>
      </c>
      <c r="AJ94" s="41">
        <f t="shared" ref="AJ94:AJ95" si="81">AF94-AH94</f>
        <v>-220</v>
      </c>
      <c r="AK94" s="200">
        <f>SUMIFS(JOURNAL!$I:$I,JOURNAL!$D:$D,$A94,JOURNAL!$C:$C,AK$5)</f>
        <v>300</v>
      </c>
      <c r="AM94" s="41">
        <f>INDEX(BUDGET!$A:$N,MATCH(A94,BUDGET!$A:$A,0),MATCH($AK$5,BUDGET!$5:$5,0))</f>
        <v>1000</v>
      </c>
      <c r="AO94" s="41">
        <f t="shared" ref="AO94:AO95" si="82">AK94-AM94</f>
        <v>-700</v>
      </c>
      <c r="AP94" s="200">
        <f>SUMIFS(JOURNAL!$I:$I,JOURNAL!$D:$D,$A94,JOURNAL!$C:$C,AP$5)</f>
        <v>0</v>
      </c>
      <c r="AR94" s="41">
        <f>INDEX(BUDGET!$A:$P,MATCH($A94,BUDGET!$A:$A,0),MATCH($AP$5,BUDGET!$5:$5,0))</f>
        <v>1000</v>
      </c>
      <c r="AT94" s="41">
        <f t="shared" ref="AT94:AT95" si="83">AP94-AR94</f>
        <v>-1000</v>
      </c>
      <c r="AU94" s="200">
        <f>SUMIFS(JOURNAL!$I:$I,JOURNAL!$D:$D,$A94,JOURNAL!$C:$C,AU$5)</f>
        <v>0</v>
      </c>
      <c r="AW94" s="41">
        <f>INDEX(BUDGET!$A:$R,MATCH($A94,BUDGET!$A:$A,0),MATCH($AU$5,BUDGET!$5:$5,0))</f>
        <v>1000</v>
      </c>
      <c r="AY94" s="41">
        <f t="shared" ref="AY94:AY95" si="84">AU94-AW94</f>
        <v>-1000</v>
      </c>
    </row>
    <row r="95" spans="1:51" x14ac:dyDescent="0.25">
      <c r="A95" s="31" t="str">
        <f>'PLAN COMPTABLE'!C61</f>
        <v>5320 - Séminaire étudiant</v>
      </c>
      <c r="B95" s="147">
        <f>SUMIFS(JOURNAL!$I:$I,JOURNAL!$D:$D,$A95,JOURNAL!$C:$C,B$5)</f>
        <v>765.82</v>
      </c>
      <c r="D95" s="147">
        <f>INDEX(BUDGET!$A:$F,MATCH($A95,BUDGET!$A:$A,0),MATCH($B$5,BUDGET!$5:$5,0))</f>
        <v>1000</v>
      </c>
      <c r="F95" s="147">
        <f t="shared" si="76"/>
        <v>-234.17999999999995</v>
      </c>
      <c r="G95" s="52"/>
      <c r="I95" s="51">
        <f>SUMIFS(JOURNAL!$I:$I,JOURNAL!$D:$D,$A95,JOURNAL!$C:$C,I$5)</f>
        <v>0</v>
      </c>
      <c r="K95" s="51" t="str">
        <f>INDEX(BUDGET!$A:$F,MATCH($A95,BUDGET!$A:$A,0),MATCH($I$5,BUDGET!$5:$5,0))</f>
        <v>CASE ABOLIE</v>
      </c>
      <c r="M95" s="51" t="e">
        <f t="shared" si="77"/>
        <v>#VALUE!</v>
      </c>
      <c r="N95" s="52"/>
      <c r="O95" s="51">
        <f>SUMIFS(JOURNAL!$I:$I,JOURNAL!$D:$D,$A95,JOURNAL!$C:$C,O$5)</f>
        <v>0</v>
      </c>
      <c r="Q95" s="51">
        <f>INDEX(BUDGET!$A:$F,MATCH($A95,BUDGET!$A:$A,0),MATCH($O$5,BUDGET!$5:$5,0))</f>
        <v>0</v>
      </c>
      <c r="S95" s="51">
        <f t="shared" si="78"/>
        <v>0</v>
      </c>
      <c r="U95" s="200">
        <f>SUMIFS(JOURNAL!$I:$I,JOURNAL!$D:$D,$A95,JOURNAL!$C:$C,U$5)</f>
        <v>0</v>
      </c>
      <c r="W95" s="41">
        <f>INDEX(BUDGET!$A:$H,MATCH($A95,BUDGET!$A:$A,0),MATCH($U$5,BUDGET!$5:$5,0))</f>
        <v>0</v>
      </c>
      <c r="Y95" s="41">
        <f t="shared" si="79"/>
        <v>0</v>
      </c>
      <c r="AA95" s="200">
        <f>SUMIFS(JOURNAL!$I:$I,JOURNAL!$D:$D,$A95,JOURNAL!$C:$C,AA$5)</f>
        <v>0</v>
      </c>
      <c r="AC95" s="41">
        <f>INDEX(BUDGET!$A:$J,MATCH($A95,BUDGET!$A:$A,0),MATCH($AA$5,BUDGET!$5:$5,0))</f>
        <v>0</v>
      </c>
      <c r="AE95" s="41">
        <f t="shared" si="80"/>
        <v>0</v>
      </c>
      <c r="AF95" s="200">
        <f>SUMIFS(JOURNAL!$I:$I,JOURNAL!$D:$D,$A95,JOURNAL!$C:$C,AF$5)</f>
        <v>0</v>
      </c>
      <c r="AH95" s="41">
        <f>INDEX(BUDGET!$A:$L,MATCH(A95,BUDGET!$A:$A,0),MATCH($AF$5,BUDGET!$5:$5,0))</f>
        <v>0</v>
      </c>
      <c r="AJ95" s="41">
        <f t="shared" si="81"/>
        <v>0</v>
      </c>
      <c r="AK95" s="200">
        <f>SUMIFS(JOURNAL!$I:$I,JOURNAL!$D:$D,$A95,JOURNAL!$C:$C,AK$5)</f>
        <v>0</v>
      </c>
      <c r="AM95" s="41">
        <f>INDEX(BUDGET!$A:$N,MATCH(A95,BUDGET!$A:$A,0),MATCH($AK$5,BUDGET!$5:$5,0))</f>
        <v>0</v>
      </c>
      <c r="AO95" s="41">
        <f t="shared" si="82"/>
        <v>0</v>
      </c>
      <c r="AP95" s="200">
        <f>SUMIFS(JOURNAL!$I:$I,JOURNAL!$D:$D,$A95,JOURNAL!$C:$C,AP$5)</f>
        <v>0</v>
      </c>
      <c r="AR95" s="41">
        <f>INDEX(BUDGET!$A:$P,MATCH($A95,BUDGET!$A:$A,0),MATCH($AP$5,BUDGET!$5:$5,0))</f>
        <v>0</v>
      </c>
      <c r="AT95" s="41">
        <f t="shared" si="83"/>
        <v>0</v>
      </c>
      <c r="AU95" s="200">
        <f>SUMIFS(JOURNAL!$I:$I,JOURNAL!$D:$D,$A95,JOURNAL!$C:$C,AU$5)</f>
        <v>0</v>
      </c>
      <c r="AW95" s="41">
        <f>INDEX(BUDGET!$A:$R,MATCH($A95,BUDGET!$A:$A,0),MATCH($AU$5,BUDGET!$5:$5,0))</f>
        <v>0</v>
      </c>
      <c r="AY95" s="41">
        <f t="shared" si="84"/>
        <v>0</v>
      </c>
    </row>
    <row r="96" spans="1:51" ht="13" x14ac:dyDescent="0.3">
      <c r="A96" s="30" t="s">
        <v>491</v>
      </c>
      <c r="B96" s="152">
        <f>SUM(B93:B95)</f>
        <v>1781.3600000000001</v>
      </c>
      <c r="D96" s="148">
        <f>SUM(D93:D95)</f>
        <v>2500</v>
      </c>
      <c r="F96" s="152">
        <f>B96-D96</f>
        <v>-718.63999999999987</v>
      </c>
      <c r="G96" s="54"/>
      <c r="I96" s="53">
        <f>SUM(I93:I95)</f>
        <v>1574.32</v>
      </c>
      <c r="K96" s="53">
        <f>SUM(K93:K95)</f>
        <v>1500</v>
      </c>
      <c r="M96" s="53">
        <f t="shared" ref="M96" si="85">I96-K96</f>
        <v>74.319999999999936</v>
      </c>
      <c r="N96" s="54"/>
      <c r="O96" s="53">
        <f>SUM(O93:O95)</f>
        <v>247</v>
      </c>
      <c r="Q96" s="53">
        <f>SUM(Q93:Q95)</f>
        <v>1350</v>
      </c>
      <c r="S96" s="53">
        <f t="shared" si="78"/>
        <v>-1103</v>
      </c>
      <c r="U96" s="206">
        <f>SUM(U93:U95)</f>
        <v>1450</v>
      </c>
      <c r="W96" s="198">
        <f>SUM(W93:W95)</f>
        <v>1450</v>
      </c>
      <c r="Y96" s="198">
        <f>SUM(Y93:Y95)</f>
        <v>0</v>
      </c>
      <c r="AA96" s="206">
        <f>SUM(AA93:AA95)</f>
        <v>3455.52</v>
      </c>
      <c r="AC96" s="198">
        <f>SUM(AC93:AC95)</f>
        <v>1750</v>
      </c>
      <c r="AE96" s="198">
        <f>SUM(AE93:AE95)</f>
        <v>1705.52</v>
      </c>
      <c r="AF96" s="206">
        <f>SUM(AF93:AF95)</f>
        <v>2191.0299999999997</v>
      </c>
      <c r="AH96" s="198">
        <f>SUM(AH93:AH95)</f>
        <v>1500</v>
      </c>
      <c r="AJ96" s="198">
        <f>SUM(AJ93:AJ95)</f>
        <v>691.03</v>
      </c>
      <c r="AK96" s="206">
        <f>SUM(AK93:AK95)</f>
        <v>1242.93</v>
      </c>
      <c r="AM96" s="198">
        <f>SUM(AM93:AM95)</f>
        <v>2250</v>
      </c>
      <c r="AO96" s="198">
        <f>SUM(AO93:AO95)</f>
        <v>-1007.0699999999999</v>
      </c>
      <c r="AP96" s="206">
        <f>SUM(AP93:AP95)</f>
        <v>3935.8500000000004</v>
      </c>
      <c r="AR96" s="198">
        <f>SUM(AR93:AR95)</f>
        <v>2250</v>
      </c>
      <c r="AT96" s="198">
        <f>SUM(AT93:AT95)</f>
        <v>1685.8500000000004</v>
      </c>
      <c r="AU96" s="206">
        <f>SUM(AU93:AU95)</f>
        <v>0</v>
      </c>
      <c r="AW96" s="198">
        <f>SUM(AW93:AW95)</f>
        <v>2250</v>
      </c>
      <c r="AY96" s="198">
        <f>SUM(AY93:AY95)</f>
        <v>-2250</v>
      </c>
    </row>
    <row r="97" spans="1:51" ht="13" x14ac:dyDescent="0.25">
      <c r="A97" s="30"/>
      <c r="B97" s="153"/>
      <c r="D97" s="129"/>
      <c r="F97" s="153"/>
      <c r="G97" s="54"/>
      <c r="I97" s="129"/>
      <c r="K97" s="129"/>
      <c r="M97" s="129"/>
      <c r="N97" s="54"/>
      <c r="O97" s="129"/>
      <c r="Q97" s="129"/>
      <c r="S97" s="129"/>
      <c r="U97" s="200"/>
      <c r="AA97" s="200"/>
      <c r="AF97" s="200"/>
      <c r="AK97" s="200"/>
      <c r="AP97" s="200"/>
      <c r="AU97" s="200"/>
    </row>
    <row r="98" spans="1:51" ht="13" x14ac:dyDescent="0.25">
      <c r="A98" s="109" t="s">
        <v>113</v>
      </c>
      <c r="B98" s="154"/>
      <c r="C98" s="168"/>
      <c r="D98" s="110"/>
      <c r="E98" s="168"/>
      <c r="F98" s="154"/>
      <c r="G98" s="130"/>
      <c r="H98" s="168"/>
      <c r="I98" s="110"/>
      <c r="J98" s="168"/>
      <c r="K98" s="110"/>
      <c r="L98" s="168"/>
      <c r="M98" s="110"/>
      <c r="N98" s="130"/>
      <c r="O98" s="110"/>
      <c r="P98" s="168"/>
      <c r="Q98" s="110"/>
      <c r="R98" s="168"/>
      <c r="S98" s="110"/>
      <c r="U98" s="200"/>
      <c r="AA98" s="200"/>
      <c r="AF98" s="200"/>
      <c r="AK98" s="200"/>
      <c r="AP98" s="200"/>
      <c r="AU98" s="200"/>
    </row>
    <row r="99" spans="1:51" x14ac:dyDescent="0.25">
      <c r="A99" s="169" t="str">
        <f>'PLAN COMPTABLE'!C62</f>
        <v>5400 - Représentation externe</v>
      </c>
      <c r="B99" s="149">
        <f>SUMIFS(JOURNAL!$I:$I,JOURNAL!$D:$D,$A99,JOURNAL!$C:$C,B$5)</f>
        <v>229.45</v>
      </c>
      <c r="C99" s="168"/>
      <c r="D99" s="149">
        <f>INDEX(BUDGET!$A:$F,MATCH($A99,BUDGET!$A:$A,0),MATCH($B$5,BUDGET!$5:$5,0))</f>
        <v>100</v>
      </c>
      <c r="E99" s="168"/>
      <c r="F99" s="149">
        <f>B99-D99</f>
        <v>129.44999999999999</v>
      </c>
      <c r="G99" s="132"/>
      <c r="H99" s="168"/>
      <c r="I99" s="131">
        <f>SUMIFS(JOURNAL!$I:$I,JOURNAL!$D:$D,$A99,JOURNAL!$C:$C,I$5)</f>
        <v>0</v>
      </c>
      <c r="J99" s="168"/>
      <c r="K99" s="131">
        <f>INDEX(BUDGET!$A:$F,MATCH($A99,BUDGET!$A:$A,0),MATCH($I$5,BUDGET!$5:$5,0))</f>
        <v>100</v>
      </c>
      <c r="L99" s="168"/>
      <c r="M99" s="131">
        <f>I99-K99</f>
        <v>-100</v>
      </c>
      <c r="N99" s="132"/>
      <c r="O99" s="131">
        <f>SUMIFS(JOURNAL!$I:$I,JOURNAL!$D:$D,$A99,JOURNAL!$C:$C,O$5)</f>
        <v>0</v>
      </c>
      <c r="P99" s="168"/>
      <c r="Q99" s="51">
        <f>INDEX(BUDGET!$A:$F,MATCH($A99,BUDGET!$A:$A,0),MATCH($O$5,BUDGET!$5:$5,0))</f>
        <v>50</v>
      </c>
      <c r="R99" s="168"/>
      <c r="S99" s="131">
        <f>O99-Q99</f>
        <v>-50</v>
      </c>
      <c r="U99" s="200">
        <f>SUMIFS(JOURNAL!$I:$I,JOURNAL!$D:$D,$A99,JOURNAL!$C:$C,U$5)</f>
        <v>0</v>
      </c>
      <c r="W99" s="41">
        <f>INDEX(BUDGET!$A:$H,MATCH($A99,BUDGET!$A:$A,0),MATCH($U$5,BUDGET!$5:$5,0))</f>
        <v>50</v>
      </c>
      <c r="Y99" s="41">
        <f>U99-W99</f>
        <v>-50</v>
      </c>
      <c r="AA99" s="200">
        <f>SUMIFS(JOURNAL!$I:$I,JOURNAL!$D:$D,$A99,JOURNAL!$C:$C,AA$5)</f>
        <v>25.410000000000004</v>
      </c>
      <c r="AC99" s="41">
        <f>INDEX(BUDGET!$A:$J,MATCH($A99,BUDGET!$A:$A,0),MATCH($AA$5,BUDGET!$5:$5,0))</f>
        <v>200</v>
      </c>
      <c r="AE99" s="41">
        <f>AA99-AC99</f>
        <v>-174.59</v>
      </c>
      <c r="AF99" s="200">
        <f>SUMIFS(JOURNAL!$I:$I,JOURNAL!$D:$D,$A99,JOURNAL!$C:$C,AF$5)</f>
        <v>0</v>
      </c>
      <c r="AH99" s="41">
        <f>INDEX(BUDGET!$A:$L,MATCH(A99,BUDGET!$A:$A,0),MATCH($AF$5,BUDGET!$5:$5,0))</f>
        <v>200</v>
      </c>
      <c r="AJ99" s="41">
        <f>AF99-AH99</f>
        <v>-200</v>
      </c>
      <c r="AK99" s="200">
        <f>SUMIFS(JOURNAL!$I:$I,JOURNAL!$D:$D,$A99,JOURNAL!$C:$C,AK$5)</f>
        <v>0</v>
      </c>
      <c r="AM99" s="41">
        <f>INDEX(BUDGET!$A:$N,MATCH(A99,BUDGET!$A:$A,0),MATCH($AK$5,BUDGET!$5:$5,0))</f>
        <v>200</v>
      </c>
      <c r="AO99" s="41">
        <f>AK99-AM99</f>
        <v>-200</v>
      </c>
      <c r="AP99" s="200">
        <f>SUMIFS(JOURNAL!$I:$I,JOURNAL!$D:$D,$A99,JOURNAL!$C:$C,AP$5)</f>
        <v>0</v>
      </c>
      <c r="AR99" s="41">
        <v>100</v>
      </c>
      <c r="AT99" s="41">
        <f>AP99-AR99</f>
        <v>-100</v>
      </c>
      <c r="AU99" s="200">
        <f>SUMIFS(JOURNAL!$I:$I,JOURNAL!$D:$D,$A99,JOURNAL!$C:$C,AU$5)</f>
        <v>0</v>
      </c>
      <c r="AW99" s="41">
        <v>100</v>
      </c>
      <c r="AY99" s="41">
        <f>AU99-AW99</f>
        <v>-100</v>
      </c>
    </row>
    <row r="100" spans="1:51" x14ac:dyDescent="0.25">
      <c r="A100" s="169" t="str">
        <f>'PLAN COMPTABLE'!C63</f>
        <v>5410 - Cotisations ASSÉ</v>
      </c>
      <c r="B100" s="149">
        <f>SUMIFS(JOURNAL!$I:$I,JOURNAL!$D:$D,$A100,JOURNAL!$C:$C,B$5)</f>
        <v>1821</v>
      </c>
      <c r="C100" s="168"/>
      <c r="D100" s="149">
        <f>INDEX(BUDGET!$A:$F,MATCH($A100,BUDGET!$A:$A,0),MATCH($B$5,BUDGET!$5:$5,0))</f>
        <v>900</v>
      </c>
      <c r="E100" s="168"/>
      <c r="F100" s="149">
        <f t="shared" ref="F100:F103" si="86">B100-D100</f>
        <v>921</v>
      </c>
      <c r="G100" s="132"/>
      <c r="H100" s="168"/>
      <c r="I100" s="131">
        <f>SUMIFS(JOURNAL!$I:$I,JOURNAL!$D:$D,$A100,JOURNAL!$C:$C,I$5)</f>
        <v>0</v>
      </c>
      <c r="J100" s="168"/>
      <c r="K100" s="131">
        <f>INDEX(BUDGET!$A:$F,MATCH($A100,BUDGET!$A:$A,0),MATCH($I$5,BUDGET!$5:$5,0))</f>
        <v>900</v>
      </c>
      <c r="L100" s="168"/>
      <c r="M100" s="131">
        <f t="shared" ref="M100:M103" si="87">I100-K100</f>
        <v>-900</v>
      </c>
      <c r="N100" s="132"/>
      <c r="O100" s="131">
        <f>SUMIFS(JOURNAL!$I:$I,JOURNAL!$D:$D,$A100,JOURNAL!$C:$C,O$5)</f>
        <v>0</v>
      </c>
      <c r="P100" s="168"/>
      <c r="Q100" s="51">
        <f>INDEX(BUDGET!$A:$F,MATCH($A100,BUDGET!$A:$A,0),MATCH($O$5,BUDGET!$5:$5,0))</f>
        <v>0</v>
      </c>
      <c r="R100" s="168"/>
      <c r="S100" s="131">
        <f t="shared" ref="S100:S103" si="88">O100-Q100</f>
        <v>0</v>
      </c>
      <c r="U100" s="200">
        <f>SUMIFS(JOURNAL!$I:$I,JOURNAL!$D:$D,$A100,JOURNAL!$C:$C,U$5)</f>
        <v>0</v>
      </c>
      <c r="W100" s="41">
        <f>INDEX(BUDGET!$A:$H,MATCH($A100,BUDGET!$A:$A,0),MATCH($U$5,BUDGET!$5:$5,0))</f>
        <v>0</v>
      </c>
      <c r="Y100" s="41">
        <f t="shared" ref="Y100:Y103" si="89">U100-W100</f>
        <v>0</v>
      </c>
      <c r="AA100" s="200">
        <f>SUMIFS(JOURNAL!$I:$I,JOURNAL!$D:$D,$A100,JOURNAL!$C:$C,AA$5)</f>
        <v>0</v>
      </c>
      <c r="AC100" s="41">
        <f>INDEX(BUDGET!$A:$J,MATCH($A100,BUDGET!$A:$A,0),MATCH($AA$5,BUDGET!$5:$5,0))</f>
        <v>0</v>
      </c>
      <c r="AE100" s="41">
        <f t="shared" ref="AE100:AE102" si="90">AA100-AC100</f>
        <v>0</v>
      </c>
      <c r="AF100" s="200">
        <f>SUMIFS(JOURNAL!$I:$I,JOURNAL!$D:$D,$A100,JOURNAL!$C:$C,AF$5)</f>
        <v>0</v>
      </c>
      <c r="AH100" s="41" t="str">
        <f>INDEX(BUDGET!$A:$L,MATCH(A100,BUDGET!$A:$A,0),MATCH($AF$5,BUDGET!$5:$5,0))</f>
        <v xml:space="preserve">CASE ABOLIE </v>
      </c>
      <c r="AJ100" s="41" t="s">
        <v>121</v>
      </c>
      <c r="AK100" s="200">
        <f>SUMIFS(JOURNAL!$I:$I,JOURNAL!$D:$D,$A100,JOURNAL!$C:$C,AK$5)</f>
        <v>0</v>
      </c>
      <c r="AM100" s="41" t="s">
        <v>121</v>
      </c>
      <c r="AO100" s="41" t="s">
        <v>121</v>
      </c>
      <c r="AP100" s="200">
        <f>SUMIFS(JOURNAL!$I:$I,JOURNAL!$D:$D,$A100,JOURNAL!$C:$C,AP$5)</f>
        <v>0</v>
      </c>
      <c r="AR100" s="41" t="s">
        <v>121</v>
      </c>
      <c r="AT100" s="41" t="s">
        <v>121</v>
      </c>
      <c r="AU100" s="200">
        <f>SUMIFS(JOURNAL!$I:$I,JOURNAL!$D:$D,$A100,JOURNAL!$C:$C,AU$5)</f>
        <v>0</v>
      </c>
      <c r="AW100" s="41" t="s">
        <v>121</v>
      </c>
      <c r="AY100" s="41" t="s">
        <v>121</v>
      </c>
    </row>
    <row r="101" spans="1:51" x14ac:dyDescent="0.25">
      <c r="A101" s="169" t="str">
        <f>'PLAN COMPTABLE'!C65</f>
        <v>5420 - Comité légal de l'ASSÉ</v>
      </c>
      <c r="B101" s="149">
        <f>SUMIFS(JOURNAL!$I:$I,JOURNAL!$D:$D,$A101,JOURNAL!$C:$C,B$5)</f>
        <v>157.5</v>
      </c>
      <c r="C101" s="168"/>
      <c r="D101" s="149">
        <f>INDEX(BUDGET!$A:$F,MATCH($A101,BUDGET!$A:$A,0),MATCH($B$5,BUDGET!$5:$5,0))</f>
        <v>157.5</v>
      </c>
      <c r="E101" s="168"/>
      <c r="F101" s="149">
        <f t="shared" si="86"/>
        <v>0</v>
      </c>
      <c r="G101" s="132"/>
      <c r="H101" s="168"/>
      <c r="I101" s="131">
        <f>SUMIFS(JOURNAL!$I:$I,JOURNAL!$D:$D,$A101,JOURNAL!$C:$C,I$5)</f>
        <v>0</v>
      </c>
      <c r="J101" s="168"/>
      <c r="K101" s="131">
        <f>INDEX(BUDGET!$A:$F,MATCH($A101,BUDGET!$A:$A,0),MATCH($I$5,BUDGET!$5:$5,0))</f>
        <v>157.5</v>
      </c>
      <c r="L101" s="168"/>
      <c r="M101" s="131">
        <f t="shared" si="87"/>
        <v>-157.5</v>
      </c>
      <c r="N101" s="132"/>
      <c r="O101" s="131">
        <f>SUMIFS(JOURNAL!$I:$I,JOURNAL!$D:$D,$A101,JOURNAL!$C:$C,O$5)</f>
        <v>0</v>
      </c>
      <c r="P101" s="168"/>
      <c r="Q101" s="51">
        <f>INDEX(BUDGET!$A:$F,MATCH($A101,BUDGET!$A:$A,0),MATCH($O$5,BUDGET!$5:$5,0))</f>
        <v>0</v>
      </c>
      <c r="R101" s="168"/>
      <c r="S101" s="131">
        <f t="shared" si="88"/>
        <v>0</v>
      </c>
      <c r="U101" s="200">
        <f>SUMIFS(JOURNAL!$I:$I,JOURNAL!$D:$D,$A101,JOURNAL!$C:$C,U$5)</f>
        <v>0</v>
      </c>
      <c r="W101" s="41">
        <f>INDEX(BUDGET!$A:$H,MATCH($A101,BUDGET!$A:$A,0),MATCH($U$5,BUDGET!$5:$5,0))</f>
        <v>0</v>
      </c>
      <c r="Y101" s="41">
        <f t="shared" si="89"/>
        <v>0</v>
      </c>
      <c r="AA101" s="200">
        <f>SUMIFS(JOURNAL!$I:$I,JOURNAL!$D:$D,$A101,JOURNAL!$C:$C,AA$5)</f>
        <v>0</v>
      </c>
      <c r="AC101" s="41">
        <f>INDEX(BUDGET!$A:$J,MATCH($A101,BUDGET!$A:$A,0),MATCH($AA$5,BUDGET!$5:$5,0))</f>
        <v>0</v>
      </c>
      <c r="AE101" s="41">
        <f t="shared" si="90"/>
        <v>0</v>
      </c>
      <c r="AF101" s="200">
        <f>SUMIFS(JOURNAL!$I:$I,JOURNAL!$D:$D,$A101,JOURNAL!$C:$C,AF$5)</f>
        <v>0</v>
      </c>
      <c r="AH101" s="41" t="str">
        <f>INDEX(BUDGET!$A:$L,MATCH(A101,BUDGET!$A:$A,0),MATCH($AF$5,BUDGET!$5:$5,0))</f>
        <v>CASE ABOLIE</v>
      </c>
      <c r="AJ101" s="41" t="s">
        <v>121</v>
      </c>
      <c r="AK101" s="200">
        <f>SUMIFS(JOURNAL!$I:$I,JOURNAL!$D:$D,$A101,JOURNAL!$C:$C,AK$5)</f>
        <v>0</v>
      </c>
      <c r="AM101" s="41" t="s">
        <v>121</v>
      </c>
      <c r="AO101" s="41" t="s">
        <v>121</v>
      </c>
      <c r="AP101" s="200">
        <f>SUMIFS(JOURNAL!$I:$I,JOURNAL!$D:$D,$A101,JOURNAL!$C:$C,AP$5)</f>
        <v>0</v>
      </c>
      <c r="AR101" s="41" t="s">
        <v>121</v>
      </c>
      <c r="AT101" s="41" t="s">
        <v>121</v>
      </c>
      <c r="AU101" s="200">
        <f>SUMIFS(JOURNAL!$I:$I,JOURNAL!$D:$D,$A101,JOURNAL!$C:$C,AU$5)</f>
        <v>0</v>
      </c>
      <c r="AW101" s="41" t="s">
        <v>121</v>
      </c>
      <c r="AY101" s="41" t="s">
        <v>121</v>
      </c>
    </row>
    <row r="102" spans="1:51" x14ac:dyDescent="0.25">
      <c r="A102" s="169" t="str">
        <f>'PLAN COMPTABLE'!C64</f>
        <v>5415 - CEVES</v>
      </c>
      <c r="B102" s="149"/>
      <c r="C102" s="168"/>
      <c r="D102" s="149"/>
      <c r="E102" s="168"/>
      <c r="F102" s="149"/>
      <c r="G102" s="132"/>
      <c r="H102" s="168"/>
      <c r="I102" s="131"/>
      <c r="J102" s="168"/>
      <c r="K102" s="131"/>
      <c r="L102" s="168"/>
      <c r="M102" s="131"/>
      <c r="N102" s="132"/>
      <c r="O102" s="131">
        <f>SUMIFS(JOURNAL!$I:$I,JOURNAL!$D:$D,$A102,JOURNAL!$C:$C,O$5)</f>
        <v>0</v>
      </c>
      <c r="P102" s="168"/>
      <c r="Q102" s="51">
        <f>INDEX(BUDGET!$A:$F,MATCH($A102,BUDGET!$A:$A,0),MATCH($O$5,BUDGET!$5:$5,0))</f>
        <v>100</v>
      </c>
      <c r="R102" s="168"/>
      <c r="S102" s="131">
        <f>O102-Q102</f>
        <v>-100</v>
      </c>
      <c r="U102" s="200">
        <f>SUMIFS(JOURNAL!$I:$I,JOURNAL!$D:$D,$A102,JOURNAL!$C:$C,U$5)</f>
        <v>0</v>
      </c>
      <c r="W102" s="41">
        <f>INDEX(BUDGET!$A:$H,MATCH($A102,BUDGET!$A:$A,0),MATCH($U$5,BUDGET!$5:$5,0))</f>
        <v>100</v>
      </c>
      <c r="Y102" s="41">
        <f t="shared" si="89"/>
        <v>-100</v>
      </c>
      <c r="AA102" s="200">
        <f>SUMIFS(JOURNAL!$I:$I,JOURNAL!$D:$D,$A102,JOURNAL!$C:$C,AA$5)</f>
        <v>0</v>
      </c>
      <c r="AC102" s="41">
        <f>INDEX(BUDGET!$A:$J,MATCH($A102,BUDGET!$A:$A,0),MATCH($AA$5,BUDGET!$5:$5,0))</f>
        <v>100</v>
      </c>
      <c r="AE102" s="41">
        <f t="shared" si="90"/>
        <v>-100</v>
      </c>
      <c r="AF102" s="200">
        <f>SUMIFS(JOURNAL!$I:$I,JOURNAL!$D:$D,$A102,JOURNAL!$C:$C,AF$5)</f>
        <v>0</v>
      </c>
      <c r="AH102" s="41">
        <f>INDEX(BUDGET!$A:$L,MATCH(A102,BUDGET!$A:$A,0),MATCH($AF$5,BUDGET!$5:$5,0))</f>
        <v>100</v>
      </c>
      <c r="AJ102" s="41">
        <f t="shared" ref="AJ102" si="91">AF102-AH102</f>
        <v>-100</v>
      </c>
      <c r="AK102" s="200">
        <f>SUMIFS(JOURNAL!$I:$I,JOURNAL!$D:$D,$A102,JOURNAL!$C:$C,AK$5)</f>
        <v>0</v>
      </c>
      <c r="AM102" s="41" t="str">
        <f>INDEX(BUDGET!$A:$N,MATCH(A102,BUDGET!$A:$A,0),MATCH($AK$5,BUDGET!$5:$5,0))</f>
        <v>CASE ABOLIE</v>
      </c>
      <c r="AO102" s="41" t="e">
        <f t="shared" ref="AO102" si="92">AK102-AM102</f>
        <v>#VALUE!</v>
      </c>
      <c r="AP102" s="200">
        <f>SUMIFS(JOURNAL!$I:$I,JOURNAL!$D:$D,$A102,JOURNAL!$C:$C,AP$5)</f>
        <v>0</v>
      </c>
      <c r="AR102" s="41" t="str">
        <f>INDEX(BUDGET!$A:$P,MATCH($A102,BUDGET!$A:$A,0),MATCH($AP$5,BUDGET!$5:$5,0))</f>
        <v>CASE ABOLIE</v>
      </c>
      <c r="AT102" s="41" t="e">
        <f t="shared" ref="AT102" si="93">AP102-AR102</f>
        <v>#VALUE!</v>
      </c>
      <c r="AU102" s="200">
        <f>SUMIFS(JOURNAL!$I:$I,JOURNAL!$D:$D,$A102,JOURNAL!$C:$C,AU$5)</f>
        <v>0</v>
      </c>
      <c r="AW102" s="41" t="str">
        <f>INDEX(BUDGET!$A:$P,MATCH($A102,BUDGET!$A:$A,0),MATCH($AP$5,BUDGET!$5:$5,0))</f>
        <v>CASE ABOLIE</v>
      </c>
      <c r="AY102" s="41" t="str">
        <f>INDEX(BUDGET!$A:$P,MATCH($A102,BUDGET!$A:$A,0),MATCH($AP$5,BUDGET!$5:$5,0))</f>
        <v>CASE ABOLIE</v>
      </c>
    </row>
    <row r="103" spans="1:51" x14ac:dyDescent="0.25">
      <c r="A103" s="169" t="str">
        <f>'PLAN COMPTABLE'!C66</f>
        <v>5430 - Mobilisation</v>
      </c>
      <c r="B103" s="149">
        <f>SUMIFS(JOURNAL!$I:$I,JOURNAL!$D:$D,$A103,JOURNAL!$C:$C,B$5)</f>
        <v>327.63</v>
      </c>
      <c r="C103" s="168"/>
      <c r="D103" s="149">
        <f>INDEX(BUDGET!$A:$F,MATCH($A103,BUDGET!$A:$A,0),MATCH($B$5,BUDGET!$5:$5,0))</f>
        <v>450</v>
      </c>
      <c r="E103" s="168"/>
      <c r="F103" s="149">
        <f t="shared" si="86"/>
        <v>-122.37</v>
      </c>
      <c r="G103" s="132"/>
      <c r="H103" s="168"/>
      <c r="I103" s="131">
        <f>SUMIFS(JOURNAL!$I:$I,JOURNAL!$D:$D,$A103,JOURNAL!$C:$C,I$5)</f>
        <v>0</v>
      </c>
      <c r="J103" s="168"/>
      <c r="K103" s="131">
        <f>INDEX(BUDGET!$A:$F,MATCH($A103,BUDGET!$A:$A,0),MATCH($I$5,BUDGET!$5:$5,0))</f>
        <v>300</v>
      </c>
      <c r="L103" s="168"/>
      <c r="M103" s="131">
        <f t="shared" si="87"/>
        <v>-300</v>
      </c>
      <c r="N103" s="132"/>
      <c r="O103" s="131">
        <f>SUMIFS(JOURNAL!$I:$I,JOURNAL!$D:$D,$A103,JOURNAL!$C:$C,O$5)</f>
        <v>42.9</v>
      </c>
      <c r="P103" s="168"/>
      <c r="Q103" s="51">
        <f>INDEX(BUDGET!$A:$F,MATCH($A103,BUDGET!$A:$A,0),MATCH($O$5,BUDGET!$5:$5,0))</f>
        <v>300</v>
      </c>
      <c r="R103" s="168"/>
      <c r="S103" s="131">
        <f t="shared" si="88"/>
        <v>-257.10000000000002</v>
      </c>
      <c r="U103" s="200">
        <f>SUMIFS(JOURNAL!$I:$I,JOURNAL!$D:$D,$A103,JOURNAL!$C:$C,U$5)</f>
        <v>0</v>
      </c>
      <c r="W103" s="41">
        <f>INDEX(BUDGET!$A:$H,MATCH($A103,BUDGET!$A:$A,0),MATCH($U$5,BUDGET!$5:$5,0))</f>
        <v>200</v>
      </c>
      <c r="Y103" s="41">
        <f t="shared" si="89"/>
        <v>-200</v>
      </c>
      <c r="AA103" s="200">
        <f>SUMIFS(JOURNAL!$I:$I,JOURNAL!$D:$D,$A103,JOURNAL!$C:$C,AA$5)</f>
        <v>12</v>
      </c>
      <c r="AC103" s="41">
        <f>INDEX(BUDGET!$A:$J,MATCH($A103,BUDGET!$A:$A,0),MATCH($AA$5,BUDGET!$5:$5,0))</f>
        <v>200</v>
      </c>
      <c r="AE103" s="41">
        <f>AA103-AC103</f>
        <v>-188</v>
      </c>
      <c r="AF103" s="200">
        <f>SUMIFS(JOURNAL!$I:$I,JOURNAL!$D:$D,$A103,JOURNAL!$C:$C,AF$5)</f>
        <v>0</v>
      </c>
      <c r="AH103" s="41">
        <f>INDEX(BUDGET!$A:$L,MATCH(A103,BUDGET!$A:$A,0),MATCH($AF$5,BUDGET!$5:$5,0))</f>
        <v>300</v>
      </c>
      <c r="AJ103" s="41">
        <f>AF103-AH103</f>
        <v>-300</v>
      </c>
      <c r="AK103" s="200">
        <f>SUMIFS(JOURNAL!$I:$I,JOURNAL!$D:$D,$A103,JOURNAL!$C:$C,AK$5)</f>
        <v>0</v>
      </c>
      <c r="AM103" s="41">
        <f>INDEX(BUDGET!$A:$N,MATCH(A103,BUDGET!$A:$A,0),MATCH($AK$5,BUDGET!$5:$5,0))</f>
        <v>300</v>
      </c>
      <c r="AO103" s="41">
        <f>AK103-AM103</f>
        <v>-300</v>
      </c>
      <c r="AP103" s="200">
        <f>SUMIFS(JOURNAL!$I:$I,JOURNAL!$D:$D,$A103,JOURNAL!$C:$C,AP$5)</f>
        <v>0</v>
      </c>
      <c r="AR103" s="41">
        <v>200</v>
      </c>
      <c r="AT103" s="41">
        <f>AP103-AR103</f>
        <v>-200</v>
      </c>
      <c r="AU103" s="200">
        <f>SUMIFS(JOURNAL!$I:$I,JOURNAL!$D:$D,$A103,JOURNAL!$C:$C,AU$5)</f>
        <v>0</v>
      </c>
      <c r="AW103" s="41">
        <v>200</v>
      </c>
      <c r="AY103" s="41">
        <f>AU103-AW103</f>
        <v>-200</v>
      </c>
    </row>
    <row r="104" spans="1:51" x14ac:dyDescent="0.25">
      <c r="A104" s="223" t="str">
        <f>'PLAN COMPTABLE'!C67</f>
        <v>5440 - Fonds d'urgence</v>
      </c>
      <c r="B104" s="149"/>
      <c r="C104" s="168"/>
      <c r="D104" s="149"/>
      <c r="E104" s="168"/>
      <c r="F104" s="149"/>
      <c r="G104" s="132"/>
      <c r="H104" s="168"/>
      <c r="I104" s="131"/>
      <c r="J104" s="168"/>
      <c r="K104" s="131"/>
      <c r="L104" s="168"/>
      <c r="M104" s="131"/>
      <c r="N104" s="132"/>
      <c r="O104" s="131"/>
      <c r="P104" s="168"/>
      <c r="Q104" s="51"/>
      <c r="R104" s="168"/>
      <c r="S104" s="131"/>
      <c r="U104" s="200"/>
      <c r="AA104" s="200">
        <v>0</v>
      </c>
      <c r="AC104" s="41">
        <v>850</v>
      </c>
      <c r="AE104" s="41">
        <f>AA104-AC104</f>
        <v>-850</v>
      </c>
      <c r="AF104" s="200">
        <v>0</v>
      </c>
      <c r="AH104" s="41">
        <f>INDEX(BUDGET!$A:$L,MATCH(A104,BUDGET!$A:$A,0),MATCH($AF$5,BUDGET!$5:$5,0))</f>
        <v>0</v>
      </c>
      <c r="AJ104" s="41">
        <f>AF104-AH104</f>
        <v>0</v>
      </c>
      <c r="AK104" s="200">
        <v>0</v>
      </c>
      <c r="AM104" s="41">
        <f>INDEX(BUDGET!$A:$N,MATCH(A104,BUDGET!$A:$A,0),MATCH($AK$5,BUDGET!$5:$5,0))</f>
        <v>200</v>
      </c>
      <c r="AO104" s="41">
        <f>AK104-AM104</f>
        <v>-200</v>
      </c>
      <c r="AP104" s="200">
        <v>0</v>
      </c>
      <c r="AR104" s="41">
        <f>INDEX(BUDGET!$A:$P,MATCH($A104,BUDGET!$A:$A,0),MATCH($AP$5,BUDGET!$5:$5,0))</f>
        <v>200</v>
      </c>
      <c r="AT104" s="41">
        <f>AP104-AR104</f>
        <v>-200</v>
      </c>
      <c r="AU104" s="200">
        <v>0</v>
      </c>
      <c r="AW104" s="41">
        <f>INDEX(BUDGET!$A:$P,MATCH($A104,BUDGET!$A:$A,0),MATCH($AP$5,BUDGET!$5:$5,0))</f>
        <v>200</v>
      </c>
      <c r="AY104" s="41">
        <f>AU104-AW104</f>
        <v>-200</v>
      </c>
    </row>
    <row r="105" spans="1:51" ht="13" x14ac:dyDescent="0.3">
      <c r="A105" s="109" t="s">
        <v>114</v>
      </c>
      <c r="B105" s="155">
        <f>SUM(B99:B103)</f>
        <v>2535.58</v>
      </c>
      <c r="C105" s="168"/>
      <c r="D105" s="173">
        <f>SUM(D99:D103)</f>
        <v>1607.5</v>
      </c>
      <c r="E105" s="168"/>
      <c r="F105" s="155">
        <f>B105-D105</f>
        <v>928.07999999999993</v>
      </c>
      <c r="G105" s="133"/>
      <c r="H105" s="168"/>
      <c r="I105" s="111">
        <f>SUM(I99:I103)</f>
        <v>0</v>
      </c>
      <c r="J105" s="168"/>
      <c r="K105" s="111">
        <f>SUM(K99:K103)</f>
        <v>1457.5</v>
      </c>
      <c r="L105" s="168"/>
      <c r="M105" s="111">
        <f>I105-K105</f>
        <v>-1457.5</v>
      </c>
      <c r="N105" s="133"/>
      <c r="O105" s="111">
        <f>SUM(O99:O103)</f>
        <v>42.9</v>
      </c>
      <c r="P105" s="168"/>
      <c r="Q105" s="111">
        <f>SUM(Q99:Q103)</f>
        <v>450</v>
      </c>
      <c r="R105" s="168"/>
      <c r="S105" s="111">
        <f>O105-Q105</f>
        <v>-407.1</v>
      </c>
      <c r="U105" s="206">
        <f>SUM(U99:U103)</f>
        <v>0</v>
      </c>
      <c r="W105" s="198">
        <f>SUM(W99:W103)</f>
        <v>350</v>
      </c>
      <c r="Y105" s="198">
        <f>SUM(Y99:Y103)</f>
        <v>-350</v>
      </c>
      <c r="AA105" s="206">
        <f>SUM(AA99:AA103)</f>
        <v>37.410000000000004</v>
      </c>
      <c r="AC105" s="198">
        <f>SUM(AC99:AC103)</f>
        <v>500</v>
      </c>
      <c r="AE105" s="198">
        <f>SUM(AE99:AE103)</f>
        <v>-462.59000000000003</v>
      </c>
      <c r="AF105" s="206">
        <f>SUM(AF99:AF103)</f>
        <v>0</v>
      </c>
      <c r="AH105" s="198">
        <f>SUM(AH99:AH103)</f>
        <v>600</v>
      </c>
      <c r="AJ105" s="198">
        <f>SUM(AJ99+AJ102+AJ103)</f>
        <v>-600</v>
      </c>
      <c r="AK105" s="206">
        <f>SUM(AK99:AK103)</f>
        <v>0</v>
      </c>
      <c r="AM105" s="198">
        <f>SUM(AM99:AM103)</f>
        <v>500</v>
      </c>
      <c r="AO105" s="198" t="e">
        <f>SUM(AO99+AO102+AO103)</f>
        <v>#VALUE!</v>
      </c>
      <c r="AP105" s="206">
        <f>SUM(AP99:AP103)</f>
        <v>0</v>
      </c>
      <c r="AR105" s="198">
        <f>SUM(AR99:AR103)</f>
        <v>300</v>
      </c>
      <c r="AT105" s="198" t="e">
        <f>SUM(AT99+AT102+AT103)</f>
        <v>#VALUE!</v>
      </c>
      <c r="AU105" s="206">
        <f>SUM(AU99:AU103)</f>
        <v>0</v>
      </c>
      <c r="AW105" s="198">
        <f>SUM(AW99:AW103)</f>
        <v>300</v>
      </c>
      <c r="AY105" s="198" t="e">
        <f>SUM(AY99+AY102+AY103)</f>
        <v>#VALUE!</v>
      </c>
    </row>
    <row r="106" spans="1:51" ht="13" x14ac:dyDescent="0.25">
      <c r="A106" s="30"/>
      <c r="B106" s="153"/>
      <c r="D106" s="129"/>
      <c r="F106" s="153"/>
      <c r="G106" s="54"/>
      <c r="I106" s="129"/>
      <c r="K106" s="129"/>
      <c r="M106" s="129"/>
      <c r="N106" s="54"/>
      <c r="O106" s="129"/>
      <c r="Q106" s="129"/>
      <c r="S106" s="129"/>
      <c r="U106" s="200"/>
      <c r="AA106" s="200"/>
      <c r="AF106" s="200"/>
      <c r="AK106" s="200"/>
      <c r="AP106" s="200"/>
      <c r="AU106" s="200"/>
    </row>
    <row r="107" spans="1:51" ht="13" x14ac:dyDescent="0.25">
      <c r="A107" s="109" t="s">
        <v>115</v>
      </c>
      <c r="B107" s="154"/>
      <c r="C107" s="168"/>
      <c r="D107" s="110"/>
      <c r="E107" s="168"/>
      <c r="F107" s="154"/>
      <c r="G107" s="130"/>
      <c r="H107" s="168"/>
      <c r="I107" s="110"/>
      <c r="J107" s="168"/>
      <c r="K107" s="110"/>
      <c r="L107" s="168"/>
      <c r="M107" s="110"/>
      <c r="N107" s="130"/>
      <c r="O107" s="110"/>
      <c r="P107" s="168"/>
      <c r="Q107" s="110"/>
      <c r="R107" s="168"/>
      <c r="S107" s="110"/>
      <c r="U107" s="200"/>
      <c r="AA107" s="200"/>
      <c r="AF107" s="200"/>
      <c r="AK107" s="200"/>
      <c r="AP107" s="200"/>
      <c r="AU107" s="200"/>
    </row>
    <row r="108" spans="1:51" x14ac:dyDescent="0.25">
      <c r="A108" s="169" t="str">
        <f>'PLAN COMPTABLE'!C68</f>
        <v>5500 - Vie Phi (remplacé 2025)</v>
      </c>
      <c r="B108" s="149">
        <f>SUMIFS(JOURNAL!$I:$I,JOURNAL!$D:$D,$A108,JOURNAL!$C:$C,B$5)</f>
        <v>0</v>
      </c>
      <c r="C108" s="168"/>
      <c r="D108" s="149">
        <f>INDEX(BUDGET!$A:$F,MATCH($A108,BUDGET!$A:$A,0),MATCH($B$5,BUDGET!$5:$5,0))</f>
        <v>0</v>
      </c>
      <c r="E108" s="168"/>
      <c r="F108" s="149">
        <f>B108-D108</f>
        <v>0</v>
      </c>
      <c r="G108" s="132"/>
      <c r="H108" s="168"/>
      <c r="I108" s="131">
        <f>SUMIFS(JOURNAL!$I:$I,JOURNAL!$D:$D,$A108,JOURNAL!$C:$C,I$5)</f>
        <v>0</v>
      </c>
      <c r="J108" s="168"/>
      <c r="K108" s="131">
        <f>INDEX(BUDGET!$A:$F,MATCH($A108,BUDGET!$A:$A,0),MATCH($I$5,BUDGET!$5:$5,0))</f>
        <v>100</v>
      </c>
      <c r="L108" s="168"/>
      <c r="M108" s="131">
        <f>I108-K108</f>
        <v>-100</v>
      </c>
      <c r="N108" s="132"/>
      <c r="O108" s="131">
        <f>SUMIFS(JOURNAL!$I:$I,JOURNAL!$D:$D,$A108,JOURNAL!$C:$C,O$5)</f>
        <v>0</v>
      </c>
      <c r="P108" s="168"/>
      <c r="Q108" s="51">
        <v>0</v>
      </c>
      <c r="R108" s="168"/>
      <c r="S108" s="131">
        <f>O108-Q108</f>
        <v>0</v>
      </c>
      <c r="U108" s="200">
        <f>SUMIFS(JOURNAL!$I:$I,JOURNAL!$D:$D,$A108,JOURNAL!$C:$C,U$5)</f>
        <v>0</v>
      </c>
      <c r="W108" s="41">
        <f>INDEX(BUDGET!$A:$H,MATCH($A108,BUDGET!$A:$A,0),MATCH($U$5,BUDGET!$5:$5,0))</f>
        <v>100</v>
      </c>
      <c r="Y108" s="41">
        <f>U108-W108</f>
        <v>-100</v>
      </c>
      <c r="AA108" s="200">
        <f>SUMIFS(JOURNAL!$I:$I,JOURNAL!$D:$D,$A108,JOURNAL!$C:$C,AA$5)</f>
        <v>0</v>
      </c>
      <c r="AC108" s="41">
        <f>INDEX(BUDGET!$A:$J,MATCH($A108,BUDGET!$A:$A,0),MATCH($AA$5,BUDGET!$5:$5,0))</f>
        <v>100</v>
      </c>
      <c r="AE108" s="41">
        <f>AA108-AC108</f>
        <v>-100</v>
      </c>
      <c r="AF108" s="200">
        <f>SUMIFS(JOURNAL!$I:$I,JOURNAL!$D:$D,$A108,JOURNAL!$C:$C,AF$5)</f>
        <v>0</v>
      </c>
      <c r="AH108" s="41">
        <f>INDEX(BUDGET!$A:$L,MATCH(A108,BUDGET!$A:$A,0),MATCH($AF$5,BUDGET!$5:$5,0))</f>
        <v>100</v>
      </c>
      <c r="AJ108" s="41">
        <f>AF108-AH108</f>
        <v>-100</v>
      </c>
      <c r="AK108" s="200">
        <f>SUMIFS(JOURNAL!$I:$I,JOURNAL!$D:$D,$A108,JOURNAL!$C:$C,AK$5)</f>
        <v>0</v>
      </c>
      <c r="AM108" s="41">
        <f>INDEX(BUDGET!$A:$N,MATCH(A108,BUDGET!$A:$A,0),MATCH($AK$5,BUDGET!$5:$5,0))</f>
        <v>100</v>
      </c>
      <c r="AO108" s="41">
        <f>AK108-AM108</f>
        <v>-100</v>
      </c>
      <c r="AP108" s="200">
        <f>SUMIFS(JOURNAL!$I:$I,JOURNAL!$D:$D,$A108,JOURNAL!$C:$C,AP$5)</f>
        <v>0</v>
      </c>
      <c r="AR108" s="41">
        <f>INDEX(BUDGET!$A:$P,MATCH($A108,BUDGET!$A:$A,0),MATCH($AP$5,BUDGET!$5:$5,0))</f>
        <v>100</v>
      </c>
      <c r="AT108" s="41">
        <f>AP108-AR108</f>
        <v>-100</v>
      </c>
      <c r="AU108" s="200">
        <f>SUMIFS(JOURNAL!$I:$I,JOURNAL!$D:$D,$A108,JOURNAL!$C:$C,AU$5)</f>
        <v>0</v>
      </c>
      <c r="AW108" s="41">
        <f>INDEX(BUDGET!$A:$R,MATCH($A108,BUDGET!$A:$A,0),MATCH($AU$5,BUDGET!$5:$5,0))</f>
        <v>400</v>
      </c>
      <c r="AY108" s="41">
        <f>AU108-AW108</f>
        <v>-400</v>
      </c>
    </row>
    <row r="109" spans="1:51" x14ac:dyDescent="0.25">
      <c r="A109" s="169" t="str">
        <f>'PLAN COMPTABLE'!C69</f>
        <v>5510 - Ithaque</v>
      </c>
      <c r="B109" s="149">
        <f>SUMIFS(JOURNAL!$I:$I,JOURNAL!$D:$D,$A109,JOURNAL!$C:$C,B$5)</f>
        <v>2134.16</v>
      </c>
      <c r="C109" s="168"/>
      <c r="D109" s="149">
        <f>INDEX(BUDGET!$A:$F,MATCH($A109,BUDGET!$A:$A,0),MATCH($B$5,BUDGET!$5:$5,0))</f>
        <v>1350</v>
      </c>
      <c r="E109" s="168"/>
      <c r="F109" s="149">
        <f>B109-D109</f>
        <v>784.15999999999985</v>
      </c>
      <c r="G109" s="132"/>
      <c r="H109" s="168"/>
      <c r="I109" s="131">
        <f>SUMIFS(JOURNAL!$I:$I,JOURNAL!$D:$D,$A109,JOURNAL!$C:$C,I$5)</f>
        <v>1550</v>
      </c>
      <c r="J109" s="168"/>
      <c r="K109" s="131">
        <f>INDEX(BUDGET!$A:$F,MATCH($A109,BUDGET!$A:$A,0),MATCH($I$5,BUDGET!$5:$5,0))</f>
        <v>1550</v>
      </c>
      <c r="L109" s="168"/>
      <c r="M109" s="131">
        <f>I109-K109</f>
        <v>0</v>
      </c>
      <c r="N109" s="132"/>
      <c r="O109" s="131">
        <f>SUMIFS(JOURNAL!$I:$I,JOURNAL!$D:$D,$A109,JOURNAL!$C:$C,O$5)</f>
        <v>1550</v>
      </c>
      <c r="P109" s="168"/>
      <c r="Q109" s="51">
        <f>INDEX(BUDGET!$A:$F,MATCH($A109,BUDGET!$A:$A,0),MATCH($O$5,BUDGET!$5:$5,0))</f>
        <v>1550</v>
      </c>
      <c r="R109" s="168"/>
      <c r="S109" s="131">
        <f>O109-Q109</f>
        <v>0</v>
      </c>
      <c r="U109" s="200">
        <f>SUMIFS(JOURNAL!$I:$I,JOURNAL!$D:$D,$A109,JOURNAL!$C:$C,U$5)</f>
        <v>1550</v>
      </c>
      <c r="W109" s="41">
        <f>INDEX(BUDGET!$A:$H,MATCH($A109,BUDGET!$A:$A,0),MATCH($U$5,BUDGET!$5:$5,0))</f>
        <v>1550</v>
      </c>
      <c r="Y109" s="41">
        <f t="shared" ref="Y109:Y117" si="94">U109-W109</f>
        <v>0</v>
      </c>
      <c r="AA109" s="200">
        <f>SUMIFS(JOURNAL!$I:$I,JOURNAL!$D:$D,$A109,JOURNAL!$C:$C,AA$5)</f>
        <v>0</v>
      </c>
      <c r="AC109" s="41">
        <f>INDEX(BUDGET!$A:$J,MATCH($A109,BUDGET!$A:$A,0),MATCH($AA$5,BUDGET!$5:$5,0))</f>
        <v>1650</v>
      </c>
      <c r="AE109" s="41">
        <f t="shared" ref="AE109:AE117" si="95">AA109-AC109</f>
        <v>-1650</v>
      </c>
      <c r="AF109" s="200">
        <f>SUMIFS(JOURNAL!$I:$I,JOURNAL!$D:$D,$A109,JOURNAL!$C:$C,AF$5)</f>
        <v>1650</v>
      </c>
      <c r="AH109" s="41">
        <f>INDEX(BUDGET!$A:$L,MATCH(A109,BUDGET!$A:$A,0),MATCH($AF$5,BUDGET!$5:$5,0))</f>
        <v>1650</v>
      </c>
      <c r="AJ109" s="41">
        <f t="shared" ref="AJ109:AJ117" si="96">AF109-AH109</f>
        <v>0</v>
      </c>
      <c r="AK109" s="200">
        <f>SUMIFS(JOURNAL!$I:$I,JOURNAL!$D:$D,$A109,JOURNAL!$C:$C,AK$5)</f>
        <v>0</v>
      </c>
      <c r="AM109" s="41">
        <f>INDEX(BUDGET!$A:$N,MATCH(A109,BUDGET!$A:$A,0),MATCH($AK$5,BUDGET!$5:$5,0))</f>
        <v>1650</v>
      </c>
      <c r="AO109" s="41">
        <f t="shared" ref="AO109:AO111" si="97">AK109-AM109</f>
        <v>-1650</v>
      </c>
      <c r="AP109" s="200">
        <f>SUMIFS(JOURNAL!$I:$I,JOURNAL!$D:$D,$A109,JOURNAL!$C:$C,AP$5)</f>
        <v>1650</v>
      </c>
      <c r="AR109" s="41">
        <f>INDEX(BUDGET!$A:$P,MATCH($A109,BUDGET!$A:$A,0),MATCH($AP$5,BUDGET!$5:$5,0))</f>
        <v>1650</v>
      </c>
      <c r="AT109" s="41">
        <f t="shared" ref="AT109:AT111" si="98">AP109-AR109</f>
        <v>0</v>
      </c>
      <c r="AU109" s="200">
        <f>SUMIFS(JOURNAL!$I:$I,JOURNAL!$D:$D,$A109,JOURNAL!$C:$C,AU$5)</f>
        <v>0</v>
      </c>
      <c r="AW109" s="41">
        <f>INDEX(BUDGET!$A:$R,MATCH($A109,BUDGET!$A:$A,0),MATCH($AU$5,BUDGET!$5:$5,0))</f>
        <v>1650</v>
      </c>
      <c r="AY109" s="41">
        <f t="shared" ref="AY109:AY111" si="99">AU109-AW109</f>
        <v>-1650</v>
      </c>
    </row>
    <row r="110" spans="1:51" x14ac:dyDescent="0.25">
      <c r="A110" s="169" t="str">
        <f>'PLAN COMPTABLE'!C70</f>
        <v>5520 - Philopolis</v>
      </c>
      <c r="B110" s="149">
        <f>SUMIFS(JOURNAL!$I:$I,JOURNAL!$D:$D,$A110,JOURNAL!$C:$C,B$5)</f>
        <v>1600</v>
      </c>
      <c r="C110" s="168"/>
      <c r="D110" s="149">
        <f>INDEX(BUDGET!$A:$F,MATCH($A110,BUDGET!$A:$A,0),MATCH($B$5,BUDGET!$5:$5,0))</f>
        <v>1600</v>
      </c>
      <c r="E110" s="168"/>
      <c r="F110" s="149">
        <f t="shared" ref="F110:F117" si="100">B110-D110</f>
        <v>0</v>
      </c>
      <c r="G110" s="132"/>
      <c r="H110" s="168"/>
      <c r="I110" s="131">
        <f>SUMIFS(JOURNAL!$I:$I,JOURNAL!$D:$D,$A110,JOURNAL!$C:$C,I$5)</f>
        <v>1600</v>
      </c>
      <c r="J110" s="168"/>
      <c r="K110" s="131">
        <f>INDEX(BUDGET!$A:$F,MATCH($A110,BUDGET!$A:$A,0),MATCH($I$5,BUDGET!$5:$5,0))</f>
        <v>1600</v>
      </c>
      <c r="L110" s="168"/>
      <c r="M110" s="131">
        <f t="shared" ref="M110:M117" si="101">I110-K110</f>
        <v>0</v>
      </c>
      <c r="N110" s="132"/>
      <c r="O110" s="131">
        <f>SUMIFS(JOURNAL!$I:$I,JOURNAL!$D:$D,$A110,JOURNAL!$C:$C,O$5)</f>
        <v>1400</v>
      </c>
      <c r="P110" s="168"/>
      <c r="Q110" s="51">
        <f>INDEX(BUDGET!$A:$F,MATCH($A110,BUDGET!$A:$A,0),MATCH($O$5,BUDGET!$5:$5,0))</f>
        <v>1400</v>
      </c>
      <c r="R110" s="168"/>
      <c r="S110" s="131">
        <f t="shared" ref="S110:S112" si="102">O110-Q110</f>
        <v>0</v>
      </c>
      <c r="U110" s="200">
        <f>SUMIFS(JOURNAL!$I:$I,JOURNAL!$D:$D,$A110,JOURNAL!$C:$C,U$5)</f>
        <v>1400</v>
      </c>
      <c r="W110" s="41">
        <f>INDEX(BUDGET!$A:$H,MATCH($A110,BUDGET!$A:$A,0),MATCH($U$5,BUDGET!$5:$5,0))</f>
        <v>1400</v>
      </c>
      <c r="Y110" s="41">
        <f t="shared" si="94"/>
        <v>0</v>
      </c>
      <c r="AA110" s="200">
        <f>SUMIFS(JOURNAL!$I:$I,JOURNAL!$D:$D,$A110,JOURNAL!$C:$C,AA$5)</f>
        <v>1500</v>
      </c>
      <c r="AC110" s="41">
        <f>INDEX(BUDGET!$A:$J,MATCH($A110,BUDGET!$A:$A,0),MATCH($AA$5,BUDGET!$5:$5,0))</f>
        <v>1500</v>
      </c>
      <c r="AE110" s="41">
        <f t="shared" si="95"/>
        <v>0</v>
      </c>
      <c r="AF110" s="200">
        <f>SUMIFS(JOURNAL!$I:$I,JOURNAL!$D:$D,$A110,JOURNAL!$C:$C,AF$5)</f>
        <v>1500</v>
      </c>
      <c r="AH110" s="41">
        <f>INDEX(BUDGET!$A:$L,MATCH(A110,BUDGET!$A:$A,0),MATCH($AF$5,BUDGET!$5:$5,0))</f>
        <v>1500</v>
      </c>
      <c r="AJ110" s="41">
        <f t="shared" si="96"/>
        <v>0</v>
      </c>
      <c r="AK110" s="200">
        <f>SUMIFS(JOURNAL!$I:$I,JOURNAL!$D:$D,$A110,JOURNAL!$C:$C,AK$5)</f>
        <v>1500</v>
      </c>
      <c r="AM110" s="41">
        <f>INDEX(BUDGET!$A:$N,MATCH(A110,BUDGET!$A:$A,0),MATCH($AK$5,BUDGET!$5:$5,0))</f>
        <v>1500</v>
      </c>
      <c r="AO110" s="41">
        <f t="shared" si="97"/>
        <v>0</v>
      </c>
      <c r="AP110" s="200">
        <f>SUMIFS(JOURNAL!$I:$I,JOURNAL!$D:$D,$A110,JOURNAL!$C:$C,AP$5)</f>
        <v>1500</v>
      </c>
      <c r="AR110" s="41">
        <f>INDEX(BUDGET!$A:$P,MATCH($A110,BUDGET!$A:$A,0),MATCH($AP$5,BUDGET!$5:$5,0))</f>
        <v>1500</v>
      </c>
      <c r="AT110" s="41">
        <f t="shared" si="98"/>
        <v>0</v>
      </c>
      <c r="AU110" s="200">
        <f>SUMIFS(JOURNAL!$I:$I,JOURNAL!$D:$D,$A110,JOURNAL!$C:$C,AU$5)</f>
        <v>0</v>
      </c>
      <c r="AW110" s="41">
        <f>INDEX(BUDGET!$A:$R,MATCH($A110,BUDGET!$A:$A,0),MATCH($AU$5,BUDGET!$5:$5,0))</f>
        <v>1500</v>
      </c>
      <c r="AY110" s="41">
        <f t="shared" si="99"/>
        <v>-1500</v>
      </c>
    </row>
    <row r="111" spans="1:51" x14ac:dyDescent="0.25">
      <c r="A111" s="169" t="str">
        <f>'PLAN COMPTABLE'!C71</f>
        <v>5530 - Lampadaire</v>
      </c>
      <c r="B111" s="149">
        <f>SUMIFS(JOURNAL!$I:$I,JOURNAL!$D:$D,$A111,JOURNAL!$C:$C,B$5)</f>
        <v>0</v>
      </c>
      <c r="C111" s="168"/>
      <c r="D111" s="149">
        <f>INDEX(BUDGET!$A:$F,MATCH($A111,BUDGET!$A:$A,0),MATCH($B$5,BUDGET!$5:$5,0))</f>
        <v>300</v>
      </c>
      <c r="E111" s="168"/>
      <c r="F111" s="149">
        <f t="shared" si="100"/>
        <v>-300</v>
      </c>
      <c r="G111" s="132"/>
      <c r="H111" s="168"/>
      <c r="I111" s="131">
        <f>SUMIFS(JOURNAL!$I:$I,JOURNAL!$D:$D,$A111,JOURNAL!$C:$C,I$5)</f>
        <v>0</v>
      </c>
      <c r="J111" s="168"/>
      <c r="K111" s="131">
        <f>INDEX(BUDGET!$A:$F,MATCH($A111,BUDGET!$A:$A,0),MATCH($I$5,BUDGET!$5:$5,0))</f>
        <v>300</v>
      </c>
      <c r="L111" s="168"/>
      <c r="M111" s="131">
        <f t="shared" si="101"/>
        <v>-300</v>
      </c>
      <c r="N111" s="132"/>
      <c r="O111" s="131">
        <f>SUMIFS(JOURNAL!$I:$I,JOURNAL!$D:$D,$A111,JOURNAL!$C:$C,O$5)</f>
        <v>0</v>
      </c>
      <c r="P111" s="168"/>
      <c r="Q111" s="51">
        <f>INDEX(BUDGET!$A:$F,MATCH($A111,BUDGET!$A:$A,0),MATCH($O$5,BUDGET!$5:$5,0))</f>
        <v>300</v>
      </c>
      <c r="R111" s="168"/>
      <c r="S111" s="131">
        <f t="shared" si="102"/>
        <v>-300</v>
      </c>
      <c r="U111" s="200">
        <f>SUMIFS(JOURNAL!$I:$I,JOURNAL!$D:$D,$A111,JOURNAL!$C:$C,U$5)</f>
        <v>0</v>
      </c>
      <c r="W111" s="41">
        <f>INDEX(BUDGET!$A:$H,MATCH($A111,BUDGET!$A:$A,0),MATCH($U$5,BUDGET!$5:$5,0))</f>
        <v>300</v>
      </c>
      <c r="Y111" s="41">
        <f t="shared" si="94"/>
        <v>-300</v>
      </c>
      <c r="AA111" s="200">
        <f>SUMIFS(JOURNAL!$I:$I,JOURNAL!$D:$D,$A111,JOURNAL!$C:$C,AA$5)</f>
        <v>0</v>
      </c>
      <c r="AC111" s="41">
        <f>INDEX(BUDGET!$A:$J,MATCH($A111,BUDGET!$A:$A,0),MATCH($AA$5,BUDGET!$5:$5,0))</f>
        <v>400</v>
      </c>
      <c r="AE111" s="41">
        <f t="shared" si="95"/>
        <v>-400</v>
      </c>
      <c r="AF111" s="200">
        <f>SUMIFS(JOURNAL!$I:$I,JOURNAL!$D:$D,$A111,JOURNAL!$C:$C,AF$5)</f>
        <v>0</v>
      </c>
      <c r="AH111" s="41">
        <f>INDEX(BUDGET!$A:$L,MATCH(A111,BUDGET!$A:$A,0),MATCH($AF$5,BUDGET!$5:$5,0))</f>
        <v>400</v>
      </c>
      <c r="AJ111" s="41">
        <f t="shared" si="96"/>
        <v>-400</v>
      </c>
      <c r="AK111" s="200">
        <f>SUMIFS(JOURNAL!$I:$I,JOURNAL!$D:$D,$A111,JOURNAL!$C:$C,AK$5)</f>
        <v>0</v>
      </c>
      <c r="AM111" s="41">
        <f>INDEX(BUDGET!$A:$N,MATCH(A111,BUDGET!$A:$A,0),MATCH($AK$5,BUDGET!$5:$5,0))</f>
        <v>400</v>
      </c>
      <c r="AO111" s="41">
        <f t="shared" si="97"/>
        <v>-400</v>
      </c>
      <c r="AP111" s="200">
        <f>SUMIFS(JOURNAL!$I:$I,JOURNAL!$D:$D,$A111,JOURNAL!$C:$C,AP$5)</f>
        <v>400</v>
      </c>
      <c r="AR111" s="41">
        <f>INDEX(BUDGET!$A:$P,MATCH($A111,BUDGET!$A:$A,0),MATCH($AP$5,BUDGET!$5:$5,0))</f>
        <v>400</v>
      </c>
      <c r="AT111" s="41">
        <f t="shared" si="98"/>
        <v>0</v>
      </c>
      <c r="AU111" s="200">
        <f>SUMIFS(JOURNAL!$I:$I,JOURNAL!$D:$D,$A111,JOURNAL!$C:$C,AU$5)</f>
        <v>400</v>
      </c>
      <c r="AW111" s="41">
        <f>INDEX(BUDGET!$A:$R,MATCH($A111,BUDGET!$A:$A,0),MATCH($AU$5,BUDGET!$5:$5,0))</f>
        <v>400</v>
      </c>
      <c r="AY111" s="41">
        <f t="shared" si="99"/>
        <v>0</v>
      </c>
    </row>
    <row r="112" spans="1:51" x14ac:dyDescent="0.25">
      <c r="A112" s="169" t="str">
        <f>'PLAN COMPTABLE'!C72</f>
        <v>5540 - Comité féministe de l'ADÉPUM</v>
      </c>
      <c r="B112" s="149">
        <f>SUMIFS(JOURNAL!$I:$I,JOURNAL!$D:$D,$A112,JOURNAL!$C:$C,B$5)</f>
        <v>0</v>
      </c>
      <c r="C112" s="168"/>
      <c r="D112" s="149">
        <f>INDEX(BUDGET!$A:$F,MATCH($A112,BUDGET!$A:$A,0),MATCH($B$5,BUDGET!$5:$5,0))</f>
        <v>900</v>
      </c>
      <c r="E112" s="168"/>
      <c r="F112" s="149">
        <f t="shared" si="100"/>
        <v>-900</v>
      </c>
      <c r="G112" s="132"/>
      <c r="H112" s="168"/>
      <c r="I112" s="131">
        <f>SUMIFS(JOURNAL!$I:$I,JOURNAL!$D:$D,$A112,JOURNAL!$C:$C,I$5)</f>
        <v>0</v>
      </c>
      <c r="J112" s="168"/>
      <c r="K112" s="131">
        <f>INDEX(BUDGET!$A:$F,MATCH($A112,BUDGET!$A:$A,0),MATCH($I$5,BUDGET!$5:$5,0))</f>
        <v>1500</v>
      </c>
      <c r="L112" s="168"/>
      <c r="M112" s="131">
        <f t="shared" si="101"/>
        <v>-1500</v>
      </c>
      <c r="N112" s="132"/>
      <c r="O112" s="131">
        <f>SUMIFS(JOURNAL!$I:$I,JOURNAL!$D:$D,$A112,JOURNAL!$C:$C,O$5)</f>
        <v>552.71</v>
      </c>
      <c r="P112" s="168"/>
      <c r="Q112" s="51">
        <f>INDEX(BUDGET!$A:$F,MATCH($A112,BUDGET!$A:$A,0),MATCH($O$5,BUDGET!$5:$5,0))</f>
        <v>2705</v>
      </c>
      <c r="R112" s="168"/>
      <c r="S112" s="131">
        <f t="shared" si="102"/>
        <v>-2152.29</v>
      </c>
      <c r="U112" s="200">
        <f>SUMIFS(JOURNAL!$I:$I,JOURNAL!$D:$D,$A112,JOURNAL!$C:$C,U$5)</f>
        <v>881.92</v>
      </c>
      <c r="W112" s="41">
        <f>INDEX(BUDGET!$A:$H,MATCH($A112,BUDGET!$A:$A,0),MATCH($U$5,BUDGET!$5:$5,0))</f>
        <v>1500</v>
      </c>
      <c r="Y112" s="41">
        <f t="shared" si="94"/>
        <v>-618.08000000000004</v>
      </c>
      <c r="AA112" s="200">
        <f>SUMIFS(JOURNAL!$I:$I,JOURNAL!$D:$D,$A112,JOURNAL!$C:$C,AA$5)</f>
        <v>300</v>
      </c>
      <c r="AC112" s="41">
        <f>INDEX(BUDGET!$A:$J,MATCH($A112,BUDGET!$A:$A,0),MATCH($AA$5,BUDGET!$5:$5,0))</f>
        <v>1600</v>
      </c>
      <c r="AE112" s="41">
        <f t="shared" si="95"/>
        <v>-1300</v>
      </c>
      <c r="AF112" s="200">
        <f>SUMIFS(JOURNAL!$I:$I,JOURNAL!$D:$D,$A112,JOURNAL!$C:$C,AF$5)</f>
        <v>2049.6799999999998</v>
      </c>
      <c r="AH112" s="41">
        <f>INDEX(BUDGET!$A:$L,MATCH(A112,BUDGET!$A:$A,0),MATCH($AF$5,BUDGET!$5:$5,0))</f>
        <v>1600</v>
      </c>
      <c r="AJ112" s="41">
        <f>AF112-AF54-AH112</f>
        <v>-1090.3200000000002</v>
      </c>
      <c r="AK112" s="200">
        <f>SUMIFS(JOURNAL!$I:$I,JOURNAL!$D:$D,$A112,JOURNAL!$C:$C,AK$5)</f>
        <v>2278.5099999999998</v>
      </c>
      <c r="AM112" s="41">
        <f>INDEX(BUDGET!$A:$N,MATCH(A112,BUDGET!$A:$A,0),MATCH($AK$5,BUDGET!$5:$5,0))</f>
        <v>1600</v>
      </c>
      <c r="AO112" s="41">
        <f>AK112-AK54-AM112</f>
        <v>436.50999999999976</v>
      </c>
      <c r="AP112" s="200">
        <f>SUMIFS(JOURNAL!$I:$I,JOURNAL!$D:$D,$A112,JOURNAL!$C:$C,AP$5)</f>
        <v>827.68000000000006</v>
      </c>
      <c r="AR112" s="41">
        <f>INDEX(BUDGET!$A:$P,MATCH($A112,BUDGET!$A:$A,0),MATCH($AP$5,BUDGET!$5:$5,0))</f>
        <v>1600</v>
      </c>
      <c r="AT112" s="41">
        <f>AP112-AP54-AR112</f>
        <v>-1080.32</v>
      </c>
      <c r="AU112" s="200">
        <f>SUMIFS(JOURNAL!$I:$I,JOURNAL!$D:$D,$A112,JOURNAL!$C:$C,AU$5)</f>
        <v>171.17000000000002</v>
      </c>
      <c r="AW112" s="41">
        <f>INDEX(BUDGET!$A:$R,MATCH($A112,BUDGET!$A:$A,0),MATCH($AU$5,BUDGET!$5:$5,0))</f>
        <v>1600</v>
      </c>
      <c r="AY112" s="41">
        <f>AU112-AU54-AW112</f>
        <v>-1472.83</v>
      </c>
    </row>
    <row r="113" spans="1:51" x14ac:dyDescent="0.25">
      <c r="A113" s="169" t="str">
        <f>'PLAN COMPTABLE'!C73</f>
        <v>5545 - Symposium de philosophie féministe</v>
      </c>
      <c r="B113" s="149"/>
      <c r="C113" s="168"/>
      <c r="D113" s="149"/>
      <c r="E113" s="168"/>
      <c r="F113" s="149"/>
      <c r="G113" s="132"/>
      <c r="H113" s="168"/>
      <c r="I113" s="131"/>
      <c r="J113" s="168"/>
      <c r="K113" s="131"/>
      <c r="L113" s="168"/>
      <c r="M113" s="131"/>
      <c r="N113" s="132"/>
      <c r="O113" s="131">
        <f>SUMIFS(JOURNAL!$I:$I,JOURNAL!$D:$D,$A113,JOURNAL!$C:$C,O$5)</f>
        <v>400</v>
      </c>
      <c r="P113" s="168"/>
      <c r="Q113" s="51">
        <f>INDEX(BUDGET!$A:$F,MATCH($A113,BUDGET!$A:$A,0),MATCH($O$5,BUDGET!$5:$5,0))</f>
        <v>400</v>
      </c>
      <c r="R113" s="168"/>
      <c r="S113" s="131">
        <f>O113-Q113</f>
        <v>0</v>
      </c>
      <c r="U113" s="200">
        <f>SUMIFS(JOURNAL!$I:$I,JOURNAL!$D:$D,$A113,JOURNAL!$C:$C,U$5)</f>
        <v>600</v>
      </c>
      <c r="W113" s="41">
        <f>INDEX(BUDGET!$A:$H,MATCH($A113,BUDGET!$A:$A,0),MATCH($U$5,BUDGET!$5:$5,0))</f>
        <v>650</v>
      </c>
      <c r="Y113" s="41">
        <f t="shared" si="94"/>
        <v>-50</v>
      </c>
      <c r="AA113" s="200">
        <f>SUMIFS(JOURNAL!$I:$I,JOURNAL!$D:$D,$A113,JOURNAL!$C:$C,AA$5)</f>
        <v>0</v>
      </c>
      <c r="AC113" s="41">
        <f>INDEX(BUDGET!$A:$J,MATCH($A113,BUDGET!$A:$A,0),MATCH($AA$5,BUDGET!$5:$5,0))</f>
        <v>0</v>
      </c>
      <c r="AE113" s="41">
        <f t="shared" si="95"/>
        <v>0</v>
      </c>
      <c r="AF113" s="200">
        <f>SUMIFS(JOURNAL!$I:$I,JOURNAL!$D:$D,$A113,JOURNAL!$C:$C,AF$5)</f>
        <v>557.02</v>
      </c>
      <c r="AH113" s="41">
        <f>INDEX(BUDGET!$A:$L,MATCH(A113,BUDGET!$A:$A,0),MATCH($AF$5,BUDGET!$5:$5,0))</f>
        <v>400</v>
      </c>
      <c r="AJ113" s="41">
        <f t="shared" si="96"/>
        <v>157.01999999999998</v>
      </c>
      <c r="AK113" s="200">
        <f>SUMIFS(JOURNAL!$I:$I,JOURNAL!$D:$D,$A113,JOURNAL!$C:$C,AK$5)</f>
        <v>400</v>
      </c>
      <c r="AM113" s="41">
        <f>INDEX(BUDGET!$A:$N,MATCH(A113,BUDGET!$A:$A,0),MATCH($AK$5,BUDGET!$5:$5,0))</f>
        <v>400</v>
      </c>
      <c r="AO113" s="41">
        <f t="shared" ref="AO113:AO117" si="103">AK113-AM113</f>
        <v>0</v>
      </c>
      <c r="AP113" s="200">
        <f>SUMIFS(JOURNAL!$I:$I,JOURNAL!$D:$D,$A113,JOURNAL!$C:$C,AP$5)</f>
        <v>400</v>
      </c>
      <c r="AR113" s="41">
        <f>INDEX(BUDGET!$A:$P,MATCH($A113,BUDGET!$A:$A,0),MATCH($AP$5,BUDGET!$5:$5,0))</f>
        <v>400</v>
      </c>
      <c r="AT113" s="41">
        <f t="shared" ref="AT113:AT117" si="104">AP113-AR113</f>
        <v>0</v>
      </c>
      <c r="AU113" s="200">
        <f>SUMIFS(JOURNAL!$I:$I,JOURNAL!$D:$D,$A113,JOURNAL!$C:$C,AU$5)</f>
        <v>0</v>
      </c>
      <c r="AW113" s="41">
        <f>INDEX(BUDGET!$A:$R,MATCH($A113,BUDGET!$A:$A,0),MATCH($AU$5,BUDGET!$5:$5,0))</f>
        <v>400</v>
      </c>
      <c r="AY113" s="41">
        <f t="shared" ref="AY113:AY117" si="105">AU113-AW113</f>
        <v>-400</v>
      </c>
    </row>
    <row r="114" spans="1:51" x14ac:dyDescent="0.25">
      <c r="A114" s="169" t="str">
        <f>'PLAN COMPTABLE'!C74</f>
        <v>5550 - PhiloSitué-es (Fillosophie)</v>
      </c>
      <c r="B114" s="149">
        <f>SUMIFS(JOURNAL!$I:$I,JOURNAL!$D:$D,$A114,JOURNAL!$C:$C,B$5)</f>
        <v>0</v>
      </c>
      <c r="C114" s="168"/>
      <c r="D114" s="149">
        <f>INDEX(BUDGET!$A:$F,MATCH($A114,BUDGET!$A:$A,0),MATCH($B$5,BUDGET!$5:$5,0))</f>
        <v>0</v>
      </c>
      <c r="E114" s="168"/>
      <c r="F114" s="149">
        <f>B114-D114</f>
        <v>0</v>
      </c>
      <c r="G114" s="132"/>
      <c r="H114" s="168"/>
      <c r="I114" s="131">
        <f>SUMIFS(JOURNAL!$I:$I,JOURNAL!$D:$D,$A114,JOURNAL!$C:$C,I$5)</f>
        <v>0</v>
      </c>
      <c r="J114" s="168"/>
      <c r="K114" s="131">
        <f>INDEX(BUDGET!$A:$F,MATCH($A114,BUDGET!$A:$A,0),MATCH($I$5,BUDGET!$5:$5,0))</f>
        <v>300</v>
      </c>
      <c r="L114" s="168"/>
      <c r="M114" s="131">
        <f>I114-K114</f>
        <v>-300</v>
      </c>
      <c r="N114" s="132"/>
      <c r="O114" s="131">
        <f>SUMIFS(JOURNAL!$I:$I,JOURNAL!$D:$D,$A114,JOURNAL!$C:$C,O$5)</f>
        <v>0</v>
      </c>
      <c r="P114" s="168"/>
      <c r="Q114" s="51">
        <f>INDEX(BUDGET!$A:$F,MATCH($A114,BUDGET!$A:$A,0),MATCH($O$5,BUDGET!$5:$5,0))</f>
        <v>300</v>
      </c>
      <c r="R114" s="168"/>
      <c r="S114" s="131">
        <f>O114-Q114</f>
        <v>-300</v>
      </c>
      <c r="U114" s="200">
        <f>SUMIFS(JOURNAL!$I:$I,JOURNAL!$D:$D,$A114,JOURNAL!$C:$C,U$5)</f>
        <v>0</v>
      </c>
      <c r="W114" s="41">
        <f>INDEX(BUDGET!$A:$H,MATCH($A114,BUDGET!$A:$A,0),MATCH($U$5,BUDGET!$5:$5,0))</f>
        <v>300</v>
      </c>
      <c r="Y114" s="41">
        <f t="shared" si="94"/>
        <v>-300</v>
      </c>
      <c r="AA114" s="200">
        <f>SUMIFS(JOURNAL!$I:$I,JOURNAL!$D:$D,$A114,JOURNAL!$C:$C,AA$5)</f>
        <v>0</v>
      </c>
      <c r="AC114" s="41">
        <f>INDEX(BUDGET!$A:$J,MATCH($A114,BUDGET!$A:$A,0),MATCH($AA$5,BUDGET!$5:$5,0))</f>
        <v>400</v>
      </c>
      <c r="AE114" s="41">
        <f t="shared" si="95"/>
        <v>-400</v>
      </c>
      <c r="AF114" s="200">
        <f>SUMIFS(JOURNAL!$I:$I,JOURNAL!$D:$D,$A114,JOURNAL!$C:$C,AF$5)</f>
        <v>0</v>
      </c>
      <c r="AH114" s="41">
        <f>INDEX(BUDGET!$A:$L,MATCH(A114,BUDGET!$A:$A,0),MATCH($AF$5,BUDGET!$5:$5,0))</f>
        <v>400</v>
      </c>
      <c r="AJ114" s="41">
        <f t="shared" si="96"/>
        <v>-400</v>
      </c>
      <c r="AK114" s="200">
        <f>SUMIFS(JOURNAL!$I:$I,JOURNAL!$D:$D,$A114,JOURNAL!$C:$C,AK$5)</f>
        <v>400</v>
      </c>
      <c r="AM114" s="41">
        <f>INDEX(BUDGET!$A:$N,MATCH(A114,BUDGET!$A:$A,0),MATCH($AK$5,BUDGET!$5:$5,0))</f>
        <v>400</v>
      </c>
      <c r="AO114" s="41">
        <f t="shared" si="103"/>
        <v>0</v>
      </c>
      <c r="AP114" s="200">
        <f>SUMIFS(JOURNAL!$I:$I,JOURNAL!$D:$D,$A114,JOURNAL!$C:$C,AP$5)</f>
        <v>400</v>
      </c>
      <c r="AR114" s="41">
        <f>INDEX(BUDGET!$A:$P,MATCH($A114,BUDGET!$A:$A,0),MATCH($AP$5,BUDGET!$5:$5,0))</f>
        <v>400</v>
      </c>
      <c r="AT114" s="41">
        <f t="shared" si="104"/>
        <v>0</v>
      </c>
      <c r="AU114" s="200">
        <f>SUMIFS(JOURNAL!$I:$I,JOURNAL!$D:$D,$A114,JOURNAL!$C:$C,AU$5)</f>
        <v>0</v>
      </c>
      <c r="AW114" s="41">
        <f>INDEX(BUDGET!$A:$R,MATCH($A114,BUDGET!$A:$A,0),MATCH($AU$5,BUDGET!$5:$5,0))</f>
        <v>400</v>
      </c>
      <c r="AY114" s="41">
        <f t="shared" si="105"/>
        <v>-400</v>
      </c>
    </row>
    <row r="115" spans="1:51" x14ac:dyDescent="0.25">
      <c r="A115" s="169" t="str">
        <f>'PLAN COMPTABLE'!C75</f>
        <v>5560 - Assemblées générales</v>
      </c>
      <c r="B115" s="149">
        <f>SUMIFS(JOURNAL!$I:$I,JOURNAL!$D:$D,$A115,JOURNAL!$C:$C,B$5)</f>
        <v>721.01</v>
      </c>
      <c r="C115" s="168"/>
      <c r="D115" s="149">
        <f>INDEX(BUDGET!$A:$F,MATCH($A115,BUDGET!$A:$A,0),MATCH($B$5,BUDGET!$5:$5,0))</f>
        <v>700</v>
      </c>
      <c r="E115" s="168"/>
      <c r="F115" s="149">
        <f t="shared" si="100"/>
        <v>21.009999999999991</v>
      </c>
      <c r="G115" s="132"/>
      <c r="H115" s="168"/>
      <c r="I115" s="131">
        <f>SUMIFS(JOURNAL!$I:$I,JOURNAL!$D:$D,$A115,JOURNAL!$C:$C,I$5)</f>
        <v>200.53</v>
      </c>
      <c r="J115" s="168"/>
      <c r="K115" s="131">
        <f>INDEX(BUDGET!$A:$F,MATCH($A115,BUDGET!$A:$A,0),MATCH($I$5,BUDGET!$5:$5,0))</f>
        <v>400</v>
      </c>
      <c r="L115" s="168"/>
      <c r="M115" s="131">
        <f t="shared" si="101"/>
        <v>-199.47</v>
      </c>
      <c r="N115" s="132"/>
      <c r="O115" s="131">
        <f>SUMIFS(JOURNAL!$I:$I,JOURNAL!$D:$D,$A115,JOURNAL!$C:$C,O$5)</f>
        <v>387.89</v>
      </c>
      <c r="P115" s="168"/>
      <c r="Q115" s="51">
        <f>INDEX(BUDGET!$A:$F,MATCH($A115,BUDGET!$A:$A,0),MATCH($O$5,BUDGET!$5:$5,0))</f>
        <v>500</v>
      </c>
      <c r="R115" s="168"/>
      <c r="S115" s="131">
        <f t="shared" ref="S115:S117" si="106">O115-Q115</f>
        <v>-112.11000000000001</v>
      </c>
      <c r="U115" s="200">
        <f>SUMIFS(JOURNAL!$I:$I,JOURNAL!$D:$D,$A115,JOURNAL!$C:$C,U$5)</f>
        <v>150</v>
      </c>
      <c r="W115" s="41">
        <f>INDEX(BUDGET!$A:$H,MATCH($A115,BUDGET!$A:$A,0),MATCH($U$5,BUDGET!$5:$5,0))</f>
        <v>350</v>
      </c>
      <c r="Y115" s="41">
        <f t="shared" si="94"/>
        <v>-200</v>
      </c>
      <c r="AA115" s="200">
        <f>SUMIFS(JOURNAL!$I:$I,JOURNAL!$D:$D,$A115,JOURNAL!$C:$C,AA$5)</f>
        <v>0</v>
      </c>
      <c r="AC115" s="41">
        <f>INDEX(BUDGET!$A:$J,MATCH($A115,BUDGET!$A:$A,0),MATCH($AA$5,BUDGET!$5:$5,0))</f>
        <v>350</v>
      </c>
      <c r="AE115" s="41">
        <f t="shared" si="95"/>
        <v>-350</v>
      </c>
      <c r="AF115" s="200">
        <f>SUMIFS(JOURNAL!$I:$I,JOURNAL!$D:$D,$A115,JOURNAL!$C:$C,AF$5)</f>
        <v>0</v>
      </c>
      <c r="AH115" s="41">
        <f>INDEX(BUDGET!$A:$L,MATCH(A115,BUDGET!$A:$A,0),MATCH($AF$5,BUDGET!$5:$5,0))</f>
        <v>350</v>
      </c>
      <c r="AJ115" s="41">
        <f t="shared" si="96"/>
        <v>-350</v>
      </c>
      <c r="AK115" s="200">
        <f>SUMIFS(JOURNAL!$I:$I,JOURNAL!$D:$D,$A115,JOURNAL!$C:$C,AK$5)</f>
        <v>101.28</v>
      </c>
      <c r="AM115" s="41">
        <f>INDEX(BUDGET!$A:$N,MATCH(A115,BUDGET!$A:$A,0),MATCH($AK$5,BUDGET!$5:$5,0))</f>
        <v>350</v>
      </c>
      <c r="AO115" s="41">
        <f t="shared" si="103"/>
        <v>-248.72</v>
      </c>
      <c r="AP115" s="200">
        <f>SUMIFS(JOURNAL!$I:$I,JOURNAL!$D:$D,$A115,JOURNAL!$C:$C,AP$5)</f>
        <v>64.62</v>
      </c>
      <c r="AR115" s="41">
        <f>INDEX(BUDGET!$A:$P,MATCH($A115,BUDGET!$A:$A,0),MATCH($AP$5,BUDGET!$5:$5,0))</f>
        <v>350</v>
      </c>
      <c r="AT115" s="41">
        <f t="shared" si="104"/>
        <v>-285.38</v>
      </c>
      <c r="AU115" s="200">
        <f>SUMIFS(JOURNAL!$I:$I,JOURNAL!$D:$D,$A115,JOURNAL!$C:$C,AU$5)</f>
        <v>98.99</v>
      </c>
      <c r="AW115" s="41">
        <f>INDEX(BUDGET!$A:$R,MATCH($A115,BUDGET!$A:$A,0),MATCH($AU$5,BUDGET!$5:$5,0))</f>
        <v>350</v>
      </c>
      <c r="AY115" s="41">
        <f t="shared" si="105"/>
        <v>-251.01</v>
      </c>
    </row>
    <row r="116" spans="1:51" x14ac:dyDescent="0.25">
      <c r="A116" s="169" t="str">
        <f>'PLAN COMPTABLE'!C76</f>
        <v>5570 - Café et thé</v>
      </c>
      <c r="B116" s="149">
        <f>SUMIFS(JOURNAL!$I:$I,JOURNAL!$D:$D,$A116,JOURNAL!$C:$C,B$5)</f>
        <v>70.22</v>
      </c>
      <c r="C116" s="168"/>
      <c r="D116" s="149">
        <f>INDEX(BUDGET!$A:$F,MATCH($A116,BUDGET!$A:$A,0),MATCH($B$5,BUDGET!$5:$5,0))</f>
        <v>100</v>
      </c>
      <c r="E116" s="168"/>
      <c r="F116" s="149">
        <f t="shared" si="100"/>
        <v>-29.78</v>
      </c>
      <c r="G116" s="132"/>
      <c r="H116" s="168"/>
      <c r="I116" s="131">
        <f>SUMIFS(JOURNAL!$I:$I,JOURNAL!$D:$D,$A116,JOURNAL!$C:$C,I$5)</f>
        <v>61</v>
      </c>
      <c r="J116" s="168"/>
      <c r="K116" s="131">
        <f>INDEX(BUDGET!$A:$F,MATCH($A116,BUDGET!$A:$A,0),MATCH($I$5,BUDGET!$5:$5,0))</f>
        <v>100</v>
      </c>
      <c r="L116" s="168"/>
      <c r="M116" s="131">
        <f t="shared" si="101"/>
        <v>-39</v>
      </c>
      <c r="N116" s="132"/>
      <c r="O116" s="131">
        <f>SUMIFS(JOURNAL!$I:$I,JOURNAL!$D:$D,$A116,JOURNAL!$C:$C,O$5)</f>
        <v>69.22</v>
      </c>
      <c r="P116" s="168"/>
      <c r="Q116" s="51">
        <f>INDEX(BUDGET!$A:$F,MATCH($A116,BUDGET!$A:$A,0),MATCH($O$5,BUDGET!$5:$5,0))</f>
        <v>100</v>
      </c>
      <c r="R116" s="168"/>
      <c r="S116" s="131">
        <f t="shared" si="106"/>
        <v>-30.78</v>
      </c>
      <c r="U116" s="200">
        <f>SUMIFS(JOURNAL!$I:$I,JOURNAL!$D:$D,$A116,JOURNAL!$C:$C,U$5)</f>
        <v>0</v>
      </c>
      <c r="W116" s="41">
        <f>INDEX(BUDGET!$A:$H,MATCH($A116,BUDGET!$A:$A,0),MATCH($U$5,BUDGET!$5:$5,0))</f>
        <v>100</v>
      </c>
      <c r="Y116" s="41">
        <f t="shared" si="94"/>
        <v>-100</v>
      </c>
      <c r="AA116" s="200">
        <f>SUMIFS(JOURNAL!$I:$I,JOURNAL!$D:$D,$A116,JOURNAL!$C:$C,AA$5)</f>
        <v>53.45</v>
      </c>
      <c r="AC116" s="41">
        <f>INDEX(BUDGET!$A:$J,MATCH($A116,BUDGET!$A:$A,0),MATCH($AA$5,BUDGET!$5:$5,0))</f>
        <v>100</v>
      </c>
      <c r="AE116" s="41">
        <f t="shared" si="95"/>
        <v>-46.55</v>
      </c>
      <c r="AF116" s="200">
        <f>SUMIFS(JOURNAL!$I:$I,JOURNAL!$D:$D,$A116,JOURNAL!$C:$C,AF$5)</f>
        <v>90.27000000000001</v>
      </c>
      <c r="AH116" s="41">
        <f>INDEX(BUDGET!$A:$L,MATCH(A116,BUDGET!$A:$A,0),MATCH($AF$5,BUDGET!$5:$5,0))</f>
        <v>100</v>
      </c>
      <c r="AJ116" s="41">
        <f t="shared" si="96"/>
        <v>-9.7299999999999898</v>
      </c>
      <c r="AK116" s="200">
        <f>SUMIFS(JOURNAL!$I:$I,JOURNAL!$D:$D,$A116,JOURNAL!$C:$C,AK$5)</f>
        <v>100.63</v>
      </c>
      <c r="AM116" s="41">
        <f>INDEX(BUDGET!$A:$N,MATCH(A116,BUDGET!$A:$A,0),MATCH($AK$5,BUDGET!$5:$5,0))</f>
        <v>100</v>
      </c>
      <c r="AO116" s="41">
        <f t="shared" si="103"/>
        <v>0.62999999999999545</v>
      </c>
      <c r="AP116" s="200">
        <f>SUMIFS(JOURNAL!$I:$I,JOURNAL!$D:$D,$A116,JOURNAL!$C:$C,AP$5)</f>
        <v>50.3</v>
      </c>
      <c r="AR116" s="41">
        <f>INDEX(BUDGET!$A:$P,MATCH($A116,BUDGET!$A:$A,0),MATCH($AP$5,BUDGET!$5:$5,0))</f>
        <v>100</v>
      </c>
      <c r="AT116" s="41">
        <f t="shared" si="104"/>
        <v>-49.7</v>
      </c>
      <c r="AU116" s="200">
        <f>SUMIFS(JOURNAL!$I:$I,JOURNAL!$D:$D,$A116,JOURNAL!$C:$C,AU$5)</f>
        <v>51</v>
      </c>
      <c r="AW116" s="41">
        <f>INDEX(BUDGET!$A:$R,MATCH($A116,BUDGET!$A:$A,0),MATCH($AU$5,BUDGET!$5:$5,0))</f>
        <v>100</v>
      </c>
      <c r="AY116" s="41">
        <f t="shared" si="105"/>
        <v>-49</v>
      </c>
    </row>
    <row r="117" spans="1:51" x14ac:dyDescent="0.25">
      <c r="A117" s="169" t="str">
        <f>'PLAN COMPTABLE'!C77</f>
        <v>5580 - Cadeaux aux secrétaires du Département de philosophie</v>
      </c>
      <c r="B117" s="149">
        <f>SUMIFS(JOURNAL!$I:$I,JOURNAL!$D:$D,$A117,JOURNAL!$C:$C,B$5)</f>
        <v>100</v>
      </c>
      <c r="C117" s="168"/>
      <c r="D117" s="149">
        <f>INDEX(BUDGET!$A:$F,MATCH($A117,BUDGET!$A:$A,0),MATCH($B$5,BUDGET!$5:$5,0))</f>
        <v>100</v>
      </c>
      <c r="E117" s="168"/>
      <c r="F117" s="149">
        <f t="shared" si="100"/>
        <v>0</v>
      </c>
      <c r="G117" s="132"/>
      <c r="H117" s="168"/>
      <c r="I117" s="131">
        <f>SUMIFS(JOURNAL!$I:$I,JOURNAL!$D:$D,$A117,JOURNAL!$C:$C,I$5)</f>
        <v>101.18</v>
      </c>
      <c r="J117" s="168"/>
      <c r="K117" s="131">
        <f>INDEX(BUDGET!$A:$F,MATCH($A117,BUDGET!$A:$A,0),MATCH($I$5,BUDGET!$5:$5,0))</f>
        <v>100</v>
      </c>
      <c r="L117" s="168"/>
      <c r="M117" s="131">
        <f t="shared" si="101"/>
        <v>1.1800000000000068</v>
      </c>
      <c r="N117" s="132"/>
      <c r="O117" s="131">
        <f>SUMIFS(JOURNAL!$I:$I,JOURNAL!$D:$D,$A117,JOURNAL!$C:$C,O$5)</f>
        <v>100.02</v>
      </c>
      <c r="P117" s="168"/>
      <c r="Q117" s="51">
        <f>INDEX(BUDGET!$A:$F,MATCH($A117,BUDGET!$A:$A,0),MATCH($O$5,BUDGET!$5:$5,0))</f>
        <v>150</v>
      </c>
      <c r="R117" s="168"/>
      <c r="S117" s="131">
        <f t="shared" si="106"/>
        <v>-49.980000000000004</v>
      </c>
      <c r="U117" s="200">
        <f>SUMIFS(JOURNAL!$I:$I,JOURNAL!$D:$D,$A117,JOURNAL!$C:$C,U$5)</f>
        <v>0</v>
      </c>
      <c r="W117" s="41">
        <f>INDEX(BUDGET!$A:$H,MATCH($A117,BUDGET!$A:$A,0),MATCH($U$5,BUDGET!$5:$5,0))</f>
        <v>100</v>
      </c>
      <c r="Y117" s="41">
        <f t="shared" si="94"/>
        <v>-100</v>
      </c>
      <c r="AA117" s="200">
        <f>SUMIFS(JOURNAL!$I:$I,JOURNAL!$D:$D,$A117,JOURNAL!$C:$C,AA$5)</f>
        <v>0</v>
      </c>
      <c r="AC117" s="41">
        <f>INDEX(BUDGET!$A:$J,MATCH($A117,BUDGET!$A:$A,0),MATCH($AA$5,BUDGET!$5:$5,0))</f>
        <v>100</v>
      </c>
      <c r="AE117" s="41">
        <f t="shared" si="95"/>
        <v>-100</v>
      </c>
      <c r="AF117" s="200">
        <f>SUMIFS(JOURNAL!$I:$I,JOURNAL!$D:$D,$A117,JOURNAL!$C:$C,AF$5)</f>
        <v>0</v>
      </c>
      <c r="AH117" s="41">
        <f>INDEX(BUDGET!$A:$L,MATCH(A117,BUDGET!$A:$A,0),MATCH($AF$5,BUDGET!$5:$5,0))</f>
        <v>100</v>
      </c>
      <c r="AJ117" s="41">
        <f t="shared" si="96"/>
        <v>-100</v>
      </c>
      <c r="AK117" s="200">
        <f>SUMIFS(JOURNAL!$I:$I,JOURNAL!$D:$D,$A117,JOURNAL!$C:$C,AK$5)</f>
        <v>0</v>
      </c>
      <c r="AM117" s="41">
        <f>INDEX(BUDGET!$A:$N,MATCH(A117,BUDGET!$A:$A,0),MATCH($AK$5,BUDGET!$5:$5,0))</f>
        <v>100</v>
      </c>
      <c r="AO117" s="41">
        <f t="shared" si="103"/>
        <v>-100</v>
      </c>
      <c r="AP117" s="200">
        <f>SUMIFS(JOURNAL!$I:$I,JOURNAL!$D:$D,$A117,JOURNAL!$C:$C,AP$5)</f>
        <v>0</v>
      </c>
      <c r="AR117" s="41">
        <f>INDEX(BUDGET!$A:$P,MATCH($A117,BUDGET!$A:$A,0),MATCH($AP$5,BUDGET!$5:$5,0))</f>
        <v>100</v>
      </c>
      <c r="AT117" s="41">
        <f t="shared" si="104"/>
        <v>-100</v>
      </c>
      <c r="AU117" s="200">
        <f>SUMIFS(JOURNAL!$I:$I,JOURNAL!$D:$D,$A117,JOURNAL!$C:$C,AU$5)</f>
        <v>0</v>
      </c>
      <c r="AW117" s="41">
        <f>INDEX(BUDGET!$A:$R,MATCH($A117,BUDGET!$A:$A,0),MATCH($AU$5,BUDGET!$5:$5,0))</f>
        <v>100</v>
      </c>
      <c r="AY117" s="41">
        <f t="shared" si="105"/>
        <v>-100</v>
      </c>
    </row>
    <row r="118" spans="1:51" ht="13" x14ac:dyDescent="0.3">
      <c r="A118" s="109" t="s">
        <v>116</v>
      </c>
      <c r="B118" s="155">
        <f>SUM(B109:B117)</f>
        <v>4625.3900000000003</v>
      </c>
      <c r="C118" s="168"/>
      <c r="D118" s="173">
        <f>SUM(D109:D117)</f>
        <v>5050</v>
      </c>
      <c r="E118" s="168"/>
      <c r="F118" s="155">
        <f>B118-D118</f>
        <v>-424.60999999999967</v>
      </c>
      <c r="G118" s="133"/>
      <c r="H118" s="168"/>
      <c r="I118" s="111">
        <f>SUM(I108:I117)</f>
        <v>3512.71</v>
      </c>
      <c r="J118" s="168"/>
      <c r="K118" s="111">
        <f>SUM(K109:K117)</f>
        <v>5850</v>
      </c>
      <c r="L118" s="168"/>
      <c r="M118" s="111">
        <f>I118-K118</f>
        <v>-2337.29</v>
      </c>
      <c r="N118" s="133"/>
      <c r="O118" s="111">
        <f>SUM(O108:O117)</f>
        <v>4459.8400000000011</v>
      </c>
      <c r="P118" s="168"/>
      <c r="Q118" s="111">
        <f>SUM(Q109:Q117)</f>
        <v>7405</v>
      </c>
      <c r="R118" s="168"/>
      <c r="S118" s="111">
        <f>O118-Q118</f>
        <v>-2945.1599999999989</v>
      </c>
      <c r="U118" s="201">
        <f>SUM(U108:U117)</f>
        <v>4581.92</v>
      </c>
      <c r="W118" s="198">
        <f>SUM(W108:W117)</f>
        <v>6350</v>
      </c>
      <c r="Y118" s="198">
        <f>SUM(Y108:Y117)</f>
        <v>-1768.08</v>
      </c>
      <c r="AA118" s="201">
        <f>SUM(AA108:AA117)</f>
        <v>1853.45</v>
      </c>
      <c r="AC118" s="198">
        <f>SUM(AC108:AC117)</f>
        <v>6200</v>
      </c>
      <c r="AE118" s="198">
        <f>SUM(AE108:AE117)</f>
        <v>-4346.55</v>
      </c>
      <c r="AF118" s="201">
        <f>SUM(AF108:AF117)</f>
        <v>5846.9700000000012</v>
      </c>
      <c r="AH118" s="198">
        <f>SUM(AH108:AH117)</f>
        <v>6600</v>
      </c>
      <c r="AJ118" s="198">
        <f>SUM(AJ108:AJ117)</f>
        <v>-2293.0300000000002</v>
      </c>
      <c r="AK118" s="201">
        <f>SUM(AK108:AK117)</f>
        <v>4780.42</v>
      </c>
      <c r="AM118" s="198">
        <f>SUM(AM108:AM117)</f>
        <v>6600</v>
      </c>
      <c r="AO118" s="198">
        <f>SUM(AO108:AO117)</f>
        <v>-2061.5800000000004</v>
      </c>
      <c r="AP118" s="201">
        <f>SUM(AP108:AP117)</f>
        <v>5292.6</v>
      </c>
      <c r="AR118" s="198">
        <f>SUM(AR108:AR117)</f>
        <v>6600</v>
      </c>
      <c r="AT118" s="198">
        <f>SUM(AT108:AT117)</f>
        <v>-1615.3999999999999</v>
      </c>
      <c r="AU118" s="201">
        <f>SUM(AU108:AU117)</f>
        <v>721.16000000000008</v>
      </c>
      <c r="AW118" s="198">
        <f>SUM(AW108:AW117)</f>
        <v>6900</v>
      </c>
      <c r="AY118" s="198">
        <f>SUM(AY108:AY117)</f>
        <v>-6222.84</v>
      </c>
    </row>
    <row r="119" spans="1:51" ht="13" x14ac:dyDescent="0.25">
      <c r="A119" s="109"/>
      <c r="B119" s="156"/>
      <c r="C119" s="168"/>
      <c r="D119" s="137"/>
      <c r="E119" s="168"/>
      <c r="F119" s="156"/>
      <c r="G119" s="133"/>
      <c r="H119" s="168"/>
      <c r="I119" s="137"/>
      <c r="J119" s="168"/>
      <c r="K119" s="137"/>
      <c r="L119" s="168"/>
      <c r="M119" s="137"/>
      <c r="N119" s="133"/>
      <c r="O119" s="137"/>
      <c r="P119" s="168"/>
      <c r="Q119" s="137"/>
      <c r="R119" s="168"/>
      <c r="S119" s="137"/>
      <c r="AA119" s="186"/>
      <c r="AF119" s="186"/>
      <c r="AK119" s="186"/>
      <c r="AP119" s="186"/>
      <c r="AU119" s="186"/>
    </row>
    <row r="120" spans="1:51" ht="13" x14ac:dyDescent="0.25">
      <c r="A120" s="109"/>
      <c r="B120" s="156"/>
      <c r="C120" s="168"/>
      <c r="D120" s="137"/>
      <c r="E120" s="168"/>
      <c r="F120" s="156"/>
      <c r="G120" s="133"/>
      <c r="H120" s="168"/>
      <c r="I120" s="137"/>
      <c r="J120" s="168"/>
      <c r="K120" s="137"/>
      <c r="L120" s="168"/>
      <c r="M120" s="137"/>
      <c r="N120" s="133"/>
      <c r="O120" s="137"/>
      <c r="P120" s="168"/>
      <c r="Q120" s="137"/>
      <c r="R120" s="168"/>
      <c r="S120" s="137"/>
      <c r="AA120" s="186"/>
      <c r="AF120" s="186"/>
      <c r="AK120" s="186"/>
      <c r="AP120" s="186"/>
      <c r="AU120" s="186"/>
    </row>
    <row r="121" spans="1:51" ht="16" thickBot="1" x14ac:dyDescent="0.4">
      <c r="A121" s="138" t="s">
        <v>125</v>
      </c>
      <c r="B121" s="164">
        <f>B73+B90+B96+B105+B118</f>
        <v>13643.14</v>
      </c>
      <c r="C121" s="140"/>
      <c r="D121" s="150">
        <f>D73+D90+D96+D105+D118</f>
        <v>16847.5</v>
      </c>
      <c r="E121" s="140"/>
      <c r="F121" s="157">
        <f>B121-D121</f>
        <v>-3204.3600000000006</v>
      </c>
      <c r="G121" s="141"/>
      <c r="H121" s="140"/>
      <c r="I121" s="139">
        <f>I73+I90+I96+I105+I118</f>
        <v>10376.539999999999</v>
      </c>
      <c r="J121" s="140"/>
      <c r="K121" s="139">
        <f>K73+K90+K96+K105+K118</f>
        <v>14747.5</v>
      </c>
      <c r="L121" s="140"/>
      <c r="M121" s="139">
        <f>I121-K121</f>
        <v>-4370.9600000000009</v>
      </c>
      <c r="N121" s="141"/>
      <c r="O121" s="139">
        <f>O73+O90+O96+O105+O118</f>
        <v>8050.7000000000007</v>
      </c>
      <c r="P121" s="140"/>
      <c r="Q121" s="139">
        <f>Q73+Q90+Q96+Q105+Q118</f>
        <v>15295</v>
      </c>
      <c r="R121" s="140"/>
      <c r="S121" s="139">
        <f>O121-Q121</f>
        <v>-7244.2999999999993</v>
      </c>
      <c r="U121" s="212">
        <f>U73+U90+U96+U105+U118</f>
        <v>7010.8</v>
      </c>
      <c r="W121" s="213">
        <f>W73+W90+W96+W105+W118</f>
        <v>11490</v>
      </c>
      <c r="Y121" s="213">
        <f>U121-W121</f>
        <v>-4479.2</v>
      </c>
      <c r="AA121" s="212">
        <f>AA73+AA90+AA96+AA105+AA118</f>
        <v>7883.8</v>
      </c>
      <c r="AC121" s="213">
        <f>AC73+AC90+AC96+AC105+AC118</f>
        <v>14990</v>
      </c>
      <c r="AE121" s="213">
        <f>AA121-AC121</f>
        <v>-7106.2</v>
      </c>
      <c r="AF121" s="212">
        <f>AF73+AF90+AF96+AF105+AF118</f>
        <v>12151.73</v>
      </c>
      <c r="AH121" s="213">
        <f>AH73+AH90+AH96+AH105+AH118</f>
        <v>17590</v>
      </c>
      <c r="AJ121" s="213">
        <f>AF121-AH121</f>
        <v>-5438.27</v>
      </c>
      <c r="AK121" s="212">
        <f>AK73+AK90+AK96+AK105+AK118</f>
        <v>10139.530000000001</v>
      </c>
      <c r="AM121" s="213">
        <f>AM73+AM90+AM96+AM105+AM118</f>
        <v>17980</v>
      </c>
      <c r="AO121" s="213">
        <f>AK121-AM121</f>
        <v>-7840.4699999999993</v>
      </c>
      <c r="AP121" s="212">
        <f>AP73+AP90+AP96+AP105+AP118</f>
        <v>12973.11</v>
      </c>
      <c r="AR121" s="213">
        <f>AR73+AR90+AR96+AR105+AR118</f>
        <v>17040</v>
      </c>
      <c r="AT121" s="213">
        <f>AP121-AR121</f>
        <v>-4066.8899999999994</v>
      </c>
      <c r="AU121" s="212">
        <f>AU73+AU90+AU96+AU105+AU118</f>
        <v>1761.99</v>
      </c>
      <c r="AW121" s="213">
        <f>AW73+AW90+AW96+AW105+AW118</f>
        <v>17140</v>
      </c>
      <c r="AY121" s="213">
        <f>AU121-AW121</f>
        <v>-15378.01</v>
      </c>
    </row>
    <row r="122" spans="1:51" ht="13" x14ac:dyDescent="0.25">
      <c r="A122" s="109"/>
      <c r="B122" s="156"/>
      <c r="C122" s="168"/>
      <c r="D122" s="137"/>
      <c r="E122" s="168"/>
      <c r="F122" s="137"/>
      <c r="G122" s="133"/>
      <c r="H122" s="168"/>
      <c r="I122" s="137"/>
      <c r="J122" s="168"/>
      <c r="K122" s="137"/>
      <c r="L122" s="168"/>
      <c r="M122" s="137"/>
      <c r="N122" s="133"/>
      <c r="O122" s="137"/>
      <c r="P122" s="168"/>
      <c r="Q122" s="137"/>
      <c r="R122" s="168"/>
      <c r="S122" s="137"/>
      <c r="AA122" s="186"/>
      <c r="AF122" s="186"/>
      <c r="AK122" s="186"/>
      <c r="AP122" s="186"/>
      <c r="AU122" s="186"/>
    </row>
    <row r="123" spans="1:51" ht="13" x14ac:dyDescent="0.25">
      <c r="A123" s="109"/>
      <c r="B123" s="156"/>
      <c r="C123" s="168"/>
      <c r="D123" s="137"/>
      <c r="E123" s="168"/>
      <c r="F123" s="137"/>
      <c r="G123" s="133"/>
      <c r="H123" s="168"/>
      <c r="I123" s="137"/>
      <c r="J123" s="168"/>
      <c r="K123" s="137"/>
      <c r="L123" s="168"/>
      <c r="M123" s="137"/>
      <c r="N123" s="133"/>
      <c r="O123" s="137"/>
      <c r="P123" s="168"/>
      <c r="Q123" s="137"/>
      <c r="R123" s="168"/>
      <c r="S123" s="137"/>
      <c r="AA123" s="186"/>
      <c r="AF123" s="186"/>
      <c r="AK123" s="186"/>
      <c r="AP123" s="186"/>
      <c r="AU123" s="186"/>
    </row>
    <row r="124" spans="1:51" x14ac:dyDescent="0.25">
      <c r="B124" s="159"/>
      <c r="D124" s="55"/>
      <c r="F124" s="55"/>
      <c r="G124" s="56"/>
      <c r="I124" s="55"/>
      <c r="K124" s="55"/>
      <c r="M124" s="55"/>
      <c r="N124" s="56"/>
      <c r="O124" s="55"/>
      <c r="Q124" s="55"/>
      <c r="S124" s="55"/>
      <c r="AA124" s="186"/>
      <c r="AF124" s="186"/>
      <c r="AK124" s="186"/>
      <c r="AP124" s="186"/>
      <c r="AU124" s="186"/>
    </row>
    <row r="125" spans="1:51" ht="16" thickBot="1" x14ac:dyDescent="0.4">
      <c r="A125" s="9" t="s">
        <v>126</v>
      </c>
      <c r="B125" s="165">
        <f>B61-B121</f>
        <v>3614.9399999999987</v>
      </c>
      <c r="C125" s="11"/>
      <c r="D125" s="158">
        <f>D61-D121</f>
        <v>39.229999999999563</v>
      </c>
      <c r="E125" s="11"/>
      <c r="F125" s="158">
        <f>B125-D125</f>
        <v>3575.7099999999991</v>
      </c>
      <c r="G125" s="14"/>
      <c r="H125" s="11"/>
      <c r="I125" s="58">
        <f>I61-I121</f>
        <v>6985.76</v>
      </c>
      <c r="J125" s="11"/>
      <c r="K125" s="58">
        <f>K61-K121</f>
        <v>834.04999999999927</v>
      </c>
      <c r="L125" s="11"/>
      <c r="M125" s="58">
        <f>I125-K125</f>
        <v>6151.7100000000009</v>
      </c>
      <c r="N125" s="14"/>
      <c r="O125" s="58">
        <f>O61-O121</f>
        <v>7061.9</v>
      </c>
      <c r="P125" s="11"/>
      <c r="Q125" s="58">
        <f>Q61-Q121</f>
        <v>1096.4000000000015</v>
      </c>
      <c r="R125" s="11"/>
      <c r="S125" s="58">
        <f>O125-Q125</f>
        <v>5965.4999999999982</v>
      </c>
      <c r="U125" s="214">
        <f>U61-U121</f>
        <v>4118.47</v>
      </c>
      <c r="V125" s="204"/>
      <c r="W125" s="215" t="e">
        <f ca="1">W61-W121</f>
        <v>#N/A</v>
      </c>
      <c r="X125" s="204"/>
      <c r="Y125" s="215" t="e">
        <f ca="1">U125-W125</f>
        <v>#N/A</v>
      </c>
      <c r="AA125" s="214">
        <f>AA61-AA121</f>
        <v>3496.2</v>
      </c>
      <c r="AB125" s="204"/>
      <c r="AC125" s="215">
        <f>AC61-AC121</f>
        <v>4709.4199999999983</v>
      </c>
      <c r="AD125" s="204"/>
      <c r="AE125" s="215">
        <f>AA125-AC125</f>
        <v>-1213.2199999999984</v>
      </c>
      <c r="AF125" s="214">
        <f>AF61-AF121</f>
        <v>378.77000000000044</v>
      </c>
      <c r="AG125" s="204"/>
      <c r="AH125" s="215">
        <f>AH61-AH121</f>
        <v>5072.5800000000017</v>
      </c>
      <c r="AI125" s="204"/>
      <c r="AJ125" s="215">
        <f>AF125-AH125</f>
        <v>-4693.8100000000013</v>
      </c>
      <c r="AK125" s="214">
        <f>AK61-AK121</f>
        <v>-1684.7200000000012</v>
      </c>
      <c r="AL125" s="204"/>
      <c r="AM125" s="215">
        <f>AM61-AM121</f>
        <v>5560.68</v>
      </c>
      <c r="AN125" s="204"/>
      <c r="AO125" s="215">
        <f>AK125-AM125</f>
        <v>-7245.4000000000015</v>
      </c>
      <c r="AP125" s="214">
        <f>AP61-AP121</f>
        <v>1215.8899999999994</v>
      </c>
      <c r="AQ125" s="204"/>
      <c r="AR125" s="215">
        <f>AR61-AR121</f>
        <v>7370</v>
      </c>
      <c r="AS125" s="204"/>
      <c r="AT125" s="215">
        <f>AP125-AR125</f>
        <v>-6154.1100000000006</v>
      </c>
      <c r="AU125" s="214">
        <f>AU61-AU121</f>
        <v>-1217.99</v>
      </c>
      <c r="AV125" s="204"/>
      <c r="AW125" s="215">
        <f>AW61-AW121</f>
        <v>7197</v>
      </c>
      <c r="AX125" s="204"/>
      <c r="AY125" s="215">
        <f>AU125-AW125</f>
        <v>-8414.99</v>
      </c>
    </row>
    <row r="126" spans="1:51" ht="13" thickTop="1" x14ac:dyDescent="0.25">
      <c r="N126" s="47"/>
      <c r="O126" s="47"/>
      <c r="Q126" s="47"/>
      <c r="S126" s="47"/>
      <c r="AA126" s="186"/>
      <c r="AF126" s="186"/>
      <c r="AK126" s="186"/>
      <c r="AP126" s="186"/>
      <c r="AU126" s="186"/>
    </row>
    <row r="127" spans="1:51" x14ac:dyDescent="0.25">
      <c r="N127" s="47"/>
      <c r="O127" s="47"/>
      <c r="Q127" s="47"/>
      <c r="S127" s="47"/>
      <c r="AA127" s="186"/>
      <c r="AF127" s="186"/>
      <c r="AK127" s="186"/>
      <c r="AP127" s="186"/>
      <c r="AU127" s="186"/>
    </row>
  </sheetData>
  <sheetProtection selectLockedCells="1"/>
  <mergeCells count="9">
    <mergeCell ref="AU5:AY5"/>
    <mergeCell ref="AP5:AT5"/>
    <mergeCell ref="AK5:AO5"/>
    <mergeCell ref="AF5:AJ5"/>
    <mergeCell ref="B5:F5"/>
    <mergeCell ref="I5:M5"/>
    <mergeCell ref="O5:S5"/>
    <mergeCell ref="U5:Y5"/>
    <mergeCell ref="AA5:AE5"/>
  </mergeCells>
  <phoneticPr fontId="11" type="noConversion"/>
  <printOptions horizontalCentered="1"/>
  <pageMargins left="0.5" right="0.5" top="0.5" bottom="0.5" header="0" footer="0.3"/>
  <pageSetup scale="65" orientation="portrait" blackAndWhite="1" r:id="rId1"/>
  <headerFooter>
    <oddFooter>&amp;C&amp;"Arial,Regular"&amp;8&amp;K000000État des résultats comparatifs_x000D_Page &amp;P de &amp;N</oddFooter>
  </headerFooter>
  <rowBreaks count="1" manualBreakCount="1">
    <brk id="84" max="16383" man="1"/>
  </rowBreaks>
  <colBreaks count="1" manualBreakCount="1">
    <brk id="13" max="1048575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'HIDDEN DATA'!$C$2:$C$4</xm:f>
          </x14:formula1>
          <xm:sqref>B5:F5 I5:M5 O5:S5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11"/>
  <sheetViews>
    <sheetView workbookViewId="0">
      <selection activeCell="C9" sqref="C9"/>
    </sheetView>
  </sheetViews>
  <sheetFormatPr defaultColWidth="10.83203125" defaultRowHeight="15.5" x14ac:dyDescent="0.35"/>
  <cols>
    <col min="1" max="2" width="11.33203125" style="1" bestFit="1" customWidth="1"/>
    <col min="3" max="3" width="10.08203125" style="1" bestFit="1" customWidth="1"/>
    <col min="4" max="9" width="9.83203125" style="1" bestFit="1" customWidth="1"/>
    <col min="10" max="16384" width="10.83203125" style="1"/>
  </cols>
  <sheetData>
    <row r="1" spans="1:6" x14ac:dyDescent="0.35">
      <c r="A1" s="2" t="s">
        <v>492</v>
      </c>
      <c r="B1" s="2" t="s">
        <v>493</v>
      </c>
      <c r="C1" s="2" t="s">
        <v>494</v>
      </c>
      <c r="F1" s="1" t="s">
        <v>139</v>
      </c>
    </row>
    <row r="2" spans="1:6" x14ac:dyDescent="0.35">
      <c r="A2" s="217">
        <v>42979</v>
      </c>
      <c r="B2" s="217">
        <f>EDATE(A2,12)-1</f>
        <v>43343</v>
      </c>
      <c r="C2" s="218" t="str">
        <f>CONCATENATE(YEAR(A2),"-",YEAR(B2))</f>
        <v>2017-2018</v>
      </c>
      <c r="F2" s="1" t="s">
        <v>172</v>
      </c>
    </row>
    <row r="3" spans="1:6" x14ac:dyDescent="0.35">
      <c r="A3" s="217">
        <f>EDATE(A2,12)</f>
        <v>43344</v>
      </c>
      <c r="B3" s="217">
        <f>EDATE(B2,12)</f>
        <v>43708</v>
      </c>
      <c r="C3" s="218" t="str">
        <f t="shared" ref="C3:C4" si="0">CONCATENATE(YEAR(A3),"-",YEAR(B3))</f>
        <v>2018-2019</v>
      </c>
      <c r="F3" s="1" t="s">
        <v>495</v>
      </c>
    </row>
    <row r="4" spans="1:6" x14ac:dyDescent="0.35">
      <c r="A4" s="217">
        <f t="shared" ref="A4:B4" si="1">EDATE(A3,12)</f>
        <v>43709</v>
      </c>
      <c r="B4" s="217">
        <f t="shared" si="1"/>
        <v>44074</v>
      </c>
      <c r="C4" s="218" t="str">
        <f t="shared" si="0"/>
        <v>2019-2020</v>
      </c>
      <c r="F4" s="1" t="s">
        <v>279</v>
      </c>
    </row>
    <row r="5" spans="1:6" x14ac:dyDescent="0.35">
      <c r="A5" s="217">
        <v>44075</v>
      </c>
      <c r="B5" s="217">
        <v>44439</v>
      </c>
      <c r="C5" s="218" t="s">
        <v>100</v>
      </c>
    </row>
    <row r="6" spans="1:6" x14ac:dyDescent="0.35">
      <c r="A6" s="217">
        <v>44440</v>
      </c>
      <c r="B6" s="217">
        <v>44804</v>
      </c>
      <c r="C6" s="218" t="s">
        <v>101</v>
      </c>
    </row>
    <row r="7" spans="1:6" x14ac:dyDescent="0.35">
      <c r="A7" s="217">
        <v>44805</v>
      </c>
      <c r="B7" s="217">
        <v>45169</v>
      </c>
      <c r="C7" s="218" t="s">
        <v>102</v>
      </c>
    </row>
    <row r="8" spans="1:6" x14ac:dyDescent="0.35">
      <c r="A8" s="217">
        <v>45170</v>
      </c>
      <c r="B8" s="217">
        <v>45535</v>
      </c>
      <c r="C8" s="218" t="s">
        <v>103</v>
      </c>
    </row>
    <row r="9" spans="1:6" x14ac:dyDescent="0.35">
      <c r="A9" s="217">
        <v>45536</v>
      </c>
      <c r="B9" s="217">
        <v>45900</v>
      </c>
      <c r="C9" s="218" t="s">
        <v>104</v>
      </c>
    </row>
    <row r="10" spans="1:6" x14ac:dyDescent="0.35">
      <c r="A10" s="217">
        <v>45901</v>
      </c>
      <c r="B10" s="217">
        <v>45900</v>
      </c>
      <c r="C10" s="218" t="s">
        <v>105</v>
      </c>
    </row>
    <row r="11" spans="1:6" x14ac:dyDescent="0.35">
      <c r="C11" s="21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INFORMATION</vt:lpstr>
      <vt:lpstr>PLAN COMPTABLE</vt:lpstr>
      <vt:lpstr>BUDGET</vt:lpstr>
      <vt:lpstr>JOURNAL</vt:lpstr>
      <vt:lpstr>ÉTAT DES RÉSULTATS</vt:lpstr>
      <vt:lpstr>HIDDEN DATA</vt:lpstr>
      <vt:lpstr>JOURNAL!Print_Area</vt:lpstr>
      <vt:lpstr>BUDGET!Print_Titles</vt:lpstr>
      <vt:lpstr>'ÉTAT DES RÉSULTATS'!Print_Titles</vt:lpstr>
      <vt:lpstr>JOURNAL!Print_Titles</vt:lpstr>
      <vt:lpstr>'PLAN COMPTABLE'!Print_Titles</vt:lpstr>
      <vt:lpstr>zzz99999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Utilisateur de Microsoft Office</dc:creator>
  <cp:keywords/>
  <dc:description/>
  <cp:lastModifiedBy>Roxanne</cp:lastModifiedBy>
  <cp:revision/>
  <dcterms:created xsi:type="dcterms:W3CDTF">2016-08-03T19:40:43Z</dcterms:created>
  <dcterms:modified xsi:type="dcterms:W3CDTF">2026-02-12T21:05:12Z</dcterms:modified>
  <cp:category/>
  <cp:contentStatus/>
</cp:coreProperties>
</file>